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ffsu-my.sharepoint.com/personal/hlulic_sport-u_com/Documents/SPCO 24-25/Sport IND/ESCALADE/"/>
    </mc:Choice>
  </mc:AlternateContent>
  <xr:revisionPtr revIDLastSave="260" documentId="8_{C5B8BFB1-4B11-40CC-9E78-EBF00798323F}" xr6:coauthVersionLast="47" xr6:coauthVersionMax="47" xr10:uidLastSave="{FC36907B-9F58-4843-A583-363720594044}"/>
  <bookViews>
    <workbookView xWindow="-28920" yWindow="-1020" windowWidth="29040" windowHeight="15840" tabRatio="759" firstSheet="3" activeTab="3" xr2:uid="{00000000-000D-0000-FFFF-FFFF00000000}"/>
  </bookViews>
  <sheets>
    <sheet name="Feuil1" sheetId="20" state="hidden" r:id="rId1"/>
    <sheet name="Finale" sheetId="19" state="hidden" r:id="rId2"/>
    <sheet name="1° Ind" sheetId="18" state="hidden" r:id="rId3"/>
    <sheet name="Participants" sheetId="30" r:id="rId4"/>
    <sheet name="Participations" sheetId="29" r:id="rId5"/>
    <sheet name="NATIONAL" sheetId="26" r:id="rId6"/>
    <sheet name="Bloc" sheetId="21" r:id="rId7"/>
    <sheet name="Difficultés" sheetId="1" r:id="rId8"/>
    <sheet name="chal A" sheetId="2" r:id="rId9"/>
    <sheet name="chal H" sheetId="33" r:id="rId10"/>
    <sheet name="chal P" sheetId="32" r:id="rId11"/>
    <sheet name="RECAP" sheetId="3" state="hidden" r:id="rId12"/>
    <sheet name="Feuil4" sheetId="4" state="hidden" r:id="rId13"/>
    <sheet name="Feuil5" sheetId="5" state="hidden" r:id="rId14"/>
    <sheet name="Feuil6" sheetId="6" state="hidden" r:id="rId15"/>
    <sheet name="Feuil7" sheetId="7" state="hidden" r:id="rId16"/>
    <sheet name="Feuil8" sheetId="8" state="hidden" r:id="rId17"/>
    <sheet name="Feuil9" sheetId="9" state="hidden" r:id="rId18"/>
    <sheet name="Feuil10" sheetId="10" state="hidden" r:id="rId19"/>
    <sheet name="Feuil11" sheetId="11" state="hidden" r:id="rId20"/>
    <sheet name="Feuil12" sheetId="12" state="hidden" r:id="rId21"/>
    <sheet name="Feuil13" sheetId="13" state="hidden" r:id="rId22"/>
    <sheet name="Feuil14" sheetId="14" state="hidden" r:id="rId23"/>
    <sheet name="Feuil15" sheetId="15" state="hidden" r:id="rId24"/>
    <sheet name="Feuil16" sheetId="16" state="hidden" r:id="rId2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9" l="1"/>
  <c r="G17" i="29"/>
  <c r="H15" i="29"/>
  <c r="G15" i="29"/>
  <c r="Y50" i="30"/>
  <c r="Y38" i="30"/>
  <c r="Y37" i="30"/>
  <c r="L118" i="30"/>
  <c r="L117" i="30"/>
  <c r="L116" i="30"/>
  <c r="L115" i="30"/>
  <c r="L114" i="30"/>
  <c r="L113" i="30"/>
  <c r="L112" i="30"/>
  <c r="L111" i="30"/>
  <c r="L110" i="30"/>
  <c r="L109" i="30"/>
  <c r="L108" i="30"/>
  <c r="L107" i="30"/>
  <c r="L106" i="30"/>
  <c r="L105" i="30"/>
  <c r="L104" i="30"/>
  <c r="L103" i="30"/>
  <c r="L102" i="30"/>
  <c r="L101" i="30"/>
  <c r="L100" i="30"/>
  <c r="L99" i="30"/>
  <c r="L98" i="30"/>
  <c r="L97" i="30"/>
  <c r="J33" i="32"/>
  <c r="J30" i="32"/>
  <c r="J27" i="32"/>
  <c r="J24" i="32"/>
  <c r="J21" i="32"/>
  <c r="J18" i="32"/>
  <c r="J15" i="32"/>
  <c r="J12" i="32"/>
  <c r="J9" i="32"/>
  <c r="J6" i="32"/>
  <c r="J3" i="32"/>
  <c r="J48" i="32"/>
  <c r="J45" i="32"/>
  <c r="J42" i="32"/>
  <c r="J39" i="32"/>
  <c r="J36" i="32"/>
  <c r="J15" i="2"/>
  <c r="L8" i="30"/>
  <c r="L20" i="30"/>
  <c r="L83" i="30"/>
  <c r="L21" i="30"/>
  <c r="L84" i="30"/>
  <c r="L85" i="30"/>
  <c r="L48" i="30"/>
  <c r="L9" i="30"/>
  <c r="L49" i="30"/>
  <c r="L50" i="30"/>
  <c r="L10" i="30"/>
  <c r="L86" i="30"/>
  <c r="L11" i="30"/>
  <c r="L87" i="30"/>
  <c r="L51" i="30"/>
  <c r="L88" i="30"/>
  <c r="L89" i="30"/>
  <c r="L90" i="30"/>
  <c r="L52" i="30"/>
  <c r="L53" i="30"/>
  <c r="L91" i="30"/>
  <c r="L54" i="30"/>
  <c r="L12" i="30"/>
  <c r="L55" i="30"/>
  <c r="L92" i="30"/>
  <c r="L93" i="30"/>
  <c r="L56" i="30"/>
  <c r="L57" i="30"/>
  <c r="L58" i="30"/>
  <c r="L94" i="30"/>
  <c r="L59" i="30"/>
  <c r="L60" i="30"/>
  <c r="L22" i="30"/>
  <c r="L61" i="30"/>
  <c r="L95" i="30"/>
  <c r="L62" i="30"/>
  <c r="L96" i="30"/>
  <c r="L63" i="30"/>
  <c r="L19" i="30"/>
  <c r="I3" i="30"/>
  <c r="H3" i="30"/>
  <c r="G3" i="30"/>
  <c r="F3" i="30"/>
  <c r="E3" i="30"/>
  <c r="Y32" i="30"/>
  <c r="Y66" i="30"/>
  <c r="Y67" i="30"/>
  <c r="Y33" i="30"/>
  <c r="Y34" i="30"/>
  <c r="Y20" i="30"/>
  <c r="Y68" i="30"/>
  <c r="Y35" i="30"/>
  <c r="Y69" i="30"/>
  <c r="Y36" i="30"/>
  <c r="Y70" i="30"/>
  <c r="Y39" i="30"/>
  <c r="Y71" i="30"/>
  <c r="Y72" i="30"/>
  <c r="Y21" i="30"/>
  <c r="Y73" i="30"/>
  <c r="Y40" i="30"/>
  <c r="Y41" i="30"/>
  <c r="Y74" i="30"/>
  <c r="Y10" i="30"/>
  <c r="Y75" i="30"/>
  <c r="Y11" i="30"/>
  <c r="Y76" i="30"/>
  <c r="Y22" i="30"/>
  <c r="Y12" i="30"/>
  <c r="Y42" i="30"/>
  <c r="Y43" i="30"/>
  <c r="Y44" i="30"/>
  <c r="Y45" i="30"/>
  <c r="Y13" i="30"/>
  <c r="Y46" i="30"/>
  <c r="Y31" i="30"/>
  <c r="R3" i="30"/>
  <c r="V3" i="30"/>
  <c r="U3" i="30"/>
  <c r="T3" i="30"/>
  <c r="S3" i="30"/>
  <c r="L68" i="30"/>
  <c r="L29" i="30"/>
  <c r="L30" i="30"/>
  <c r="L31" i="30"/>
  <c r="L73" i="30"/>
  <c r="L32" i="30"/>
  <c r="L33" i="30"/>
  <c r="L13" i="30"/>
  <c r="L34" i="30"/>
  <c r="L74" i="30"/>
  <c r="L35" i="30"/>
  <c r="L14" i="30"/>
  <c r="L36" i="30"/>
  <c r="L75" i="30"/>
  <c r="L15" i="30"/>
  <c r="L69" i="30"/>
  <c r="L37" i="30"/>
  <c r="L76" i="30"/>
  <c r="L38" i="30"/>
  <c r="L39" i="30"/>
  <c r="L70" i="30"/>
  <c r="L71" i="30"/>
  <c r="L25" i="30"/>
  <c r="L77" i="30"/>
  <c r="L78" i="30"/>
  <c r="L6" i="30"/>
  <c r="L23" i="30"/>
  <c r="L40" i="30"/>
  <c r="L41" i="30"/>
  <c r="L16" i="30"/>
  <c r="L4" i="30"/>
  <c r="L64" i="30"/>
  <c r="L5" i="30"/>
  <c r="L79" i="30"/>
  <c r="L42" i="30"/>
  <c r="L72" i="30"/>
  <c r="L65" i="30"/>
  <c r="L66" i="30"/>
  <c r="L26" i="30"/>
  <c r="L43" i="30"/>
  <c r="L17" i="30"/>
  <c r="L44" i="30"/>
  <c r="L80" i="30"/>
  <c r="L67" i="30"/>
  <c r="L7" i="30"/>
  <c r="L81" i="30"/>
  <c r="L45" i="30"/>
  <c r="L27" i="30"/>
  <c r="L28" i="30"/>
  <c r="L82" i="30"/>
  <c r="L46" i="30"/>
  <c r="L24" i="30"/>
  <c r="L18" i="30"/>
  <c r="L47" i="30"/>
  <c r="Y57" i="30"/>
  <c r="Y63" i="30"/>
  <c r="Y9" i="30"/>
  <c r="Y30" i="30"/>
  <c r="Y19" i="30"/>
  <c r="Y16" i="30"/>
  <c r="E10" i="21"/>
  <c r="E79" i="21"/>
  <c r="E78" i="21"/>
  <c r="E77" i="21"/>
  <c r="J76" i="21"/>
  <c r="E76" i="21"/>
  <c r="J75" i="21"/>
  <c r="E75" i="21"/>
  <c r="J74" i="21"/>
  <c r="E74" i="21"/>
  <c r="J73" i="21"/>
  <c r="E73" i="21"/>
  <c r="J72" i="21"/>
  <c r="E72" i="21"/>
  <c r="J71" i="21"/>
  <c r="E71" i="21"/>
  <c r="J70" i="21"/>
  <c r="E70" i="21"/>
  <c r="J69" i="21"/>
  <c r="E69" i="21"/>
  <c r="J68" i="21"/>
  <c r="E68" i="21"/>
  <c r="J67" i="21"/>
  <c r="E67" i="21"/>
  <c r="J66" i="21"/>
  <c r="E66" i="21"/>
  <c r="J65" i="21"/>
  <c r="E65" i="21"/>
  <c r="J64" i="21"/>
  <c r="E64" i="21"/>
  <c r="J63" i="21"/>
  <c r="E63" i="21"/>
  <c r="J62" i="21"/>
  <c r="E62" i="21"/>
  <c r="J61" i="21"/>
  <c r="E61" i="21"/>
  <c r="J60" i="21"/>
  <c r="E60" i="21"/>
  <c r="J59" i="21"/>
  <c r="E59" i="21"/>
  <c r="J58" i="21"/>
  <c r="E58" i="21"/>
  <c r="J57" i="21"/>
  <c r="E57" i="21"/>
  <c r="J56" i="21"/>
  <c r="E56" i="21"/>
  <c r="J55" i="21"/>
  <c r="E55" i="21"/>
  <c r="J54" i="21"/>
  <c r="E54" i="21"/>
  <c r="J53" i="21"/>
  <c r="E53" i="21"/>
  <c r="J52" i="21"/>
  <c r="E52" i="21"/>
  <c r="J51" i="21"/>
  <c r="E51" i="21"/>
  <c r="J50" i="21"/>
  <c r="E50" i="21"/>
  <c r="J49" i="21"/>
  <c r="E49" i="21"/>
  <c r="J48" i="21"/>
  <c r="E48" i="21"/>
  <c r="J47" i="21"/>
  <c r="E47" i="21"/>
  <c r="J46" i="21"/>
  <c r="E46" i="21"/>
  <c r="J45" i="21"/>
  <c r="E45" i="21"/>
  <c r="J44" i="21"/>
  <c r="E44" i="21"/>
  <c r="J43" i="21"/>
  <c r="E43" i="21"/>
  <c r="J42" i="21"/>
  <c r="E42" i="21"/>
  <c r="J41" i="21"/>
  <c r="E41" i="21"/>
  <c r="J40" i="21"/>
  <c r="E40" i="21"/>
  <c r="J39" i="21"/>
  <c r="E39" i="21"/>
  <c r="J38" i="21"/>
  <c r="E38" i="21"/>
  <c r="J37" i="21"/>
  <c r="E37" i="21"/>
  <c r="J36" i="21"/>
  <c r="E36" i="21"/>
  <c r="J35" i="21"/>
  <c r="E35" i="21"/>
  <c r="J34" i="21"/>
  <c r="E34" i="21"/>
  <c r="J33" i="21"/>
  <c r="E33" i="21"/>
  <c r="J32" i="21"/>
  <c r="E32" i="21"/>
  <c r="J31" i="21"/>
  <c r="E31" i="21"/>
  <c r="J30" i="21"/>
  <c r="E30" i="21"/>
  <c r="J29" i="21"/>
  <c r="E29" i="21"/>
  <c r="J28" i="21"/>
  <c r="E28" i="21"/>
  <c r="J27" i="21"/>
  <c r="E27" i="21"/>
  <c r="J26" i="21"/>
  <c r="E26" i="21"/>
  <c r="J25" i="21"/>
  <c r="E25" i="21"/>
  <c r="J24" i="21"/>
  <c r="E24" i="21"/>
  <c r="J23" i="21"/>
  <c r="E23" i="21"/>
  <c r="J22" i="21"/>
  <c r="E22" i="21"/>
  <c r="J21" i="21"/>
  <c r="E21" i="21"/>
  <c r="J20" i="21"/>
  <c r="E20" i="21"/>
  <c r="J19" i="21"/>
  <c r="E19" i="21"/>
  <c r="J18" i="21"/>
  <c r="E18" i="21"/>
  <c r="J17" i="21"/>
  <c r="E17" i="21"/>
  <c r="J16" i="21"/>
  <c r="E16" i="21"/>
  <c r="J15" i="21"/>
  <c r="E15" i="21"/>
  <c r="J14" i="21"/>
  <c r="E14" i="21"/>
  <c r="J13" i="21"/>
  <c r="E13" i="21"/>
  <c r="J12" i="21"/>
  <c r="E12" i="21"/>
  <c r="J11" i="21"/>
  <c r="E11" i="21"/>
  <c r="J10" i="21"/>
  <c r="J9" i="21"/>
  <c r="E4" i="21"/>
  <c r="J125" i="21"/>
  <c r="E125" i="21"/>
  <c r="J124" i="21"/>
  <c r="E124" i="21"/>
  <c r="J123" i="21"/>
  <c r="E123" i="21"/>
  <c r="J122" i="21"/>
  <c r="E122" i="21"/>
  <c r="J121" i="21"/>
  <c r="E121" i="21"/>
  <c r="J120" i="21"/>
  <c r="E120" i="21"/>
  <c r="J119" i="21"/>
  <c r="E119" i="21"/>
  <c r="J118" i="21"/>
  <c r="E118" i="21"/>
  <c r="J117" i="21"/>
  <c r="E117" i="21"/>
  <c r="J116" i="21"/>
  <c r="E116" i="21"/>
  <c r="J115" i="21"/>
  <c r="E115" i="21"/>
  <c r="J114" i="21"/>
  <c r="E114" i="21"/>
  <c r="J113" i="21"/>
  <c r="E113" i="21"/>
  <c r="J112" i="21"/>
  <c r="E112" i="21"/>
  <c r="J111" i="21"/>
  <c r="E111" i="21"/>
  <c r="J110" i="21"/>
  <c r="E110" i="21"/>
  <c r="J109" i="21"/>
  <c r="E109" i="21"/>
  <c r="J108" i="21"/>
  <c r="E108" i="21"/>
  <c r="J107" i="21"/>
  <c r="E107" i="21"/>
  <c r="J106" i="21"/>
  <c r="E106" i="21"/>
  <c r="J105" i="21"/>
  <c r="E105" i="21"/>
  <c r="J104" i="21"/>
  <c r="E104" i="21"/>
  <c r="J103" i="21"/>
  <c r="E103" i="21"/>
  <c r="J102" i="21"/>
  <c r="E102" i="21"/>
  <c r="J101" i="21"/>
  <c r="E101" i="21"/>
  <c r="J100" i="21"/>
  <c r="E100" i="21"/>
  <c r="J99" i="21"/>
  <c r="E99" i="21"/>
  <c r="J98" i="21"/>
  <c r="E98" i="21"/>
  <c r="J97" i="21"/>
  <c r="E97" i="21"/>
  <c r="J96" i="21"/>
  <c r="E96" i="21"/>
  <c r="J95" i="21"/>
  <c r="E95" i="21"/>
  <c r="J94" i="21"/>
  <c r="E94" i="21"/>
  <c r="J93" i="21"/>
  <c r="E93" i="21"/>
  <c r="J92" i="21"/>
  <c r="E92" i="21"/>
  <c r="J91" i="21"/>
  <c r="E91" i="21"/>
  <c r="J90" i="21"/>
  <c r="E90" i="21"/>
  <c r="J89" i="21"/>
  <c r="E89" i="21"/>
  <c r="J88" i="21"/>
  <c r="E88" i="21"/>
  <c r="J87" i="21"/>
  <c r="E87" i="21"/>
  <c r="J86" i="21"/>
  <c r="E86" i="21"/>
  <c r="J85" i="21"/>
  <c r="E85" i="21"/>
  <c r="J84" i="21"/>
  <c r="E84" i="21"/>
  <c r="E83" i="21"/>
  <c r="J57" i="2" l="1"/>
  <c r="J54" i="2"/>
  <c r="J51" i="2"/>
  <c r="J48" i="2"/>
  <c r="J45" i="2"/>
  <c r="J42" i="2"/>
  <c r="J39" i="2"/>
  <c r="J36" i="2"/>
  <c r="J33" i="2"/>
  <c r="J30" i="2"/>
  <c r="J27" i="2"/>
  <c r="J24" i="2"/>
  <c r="J21" i="2"/>
  <c r="J18" i="2"/>
  <c r="J12" i="2"/>
  <c r="J9" i="2"/>
  <c r="J6" i="2"/>
  <c r="J3" i="2"/>
  <c r="Y65" i="30"/>
  <c r="Y29" i="30"/>
  <c r="Y8" i="30"/>
  <c r="Y64" i="30"/>
  <c r="Y18" i="30"/>
  <c r="E12" i="32"/>
  <c r="E9" i="32"/>
  <c r="E6" i="32"/>
  <c r="Y25" i="30"/>
  <c r="Y53" i="30"/>
  <c r="Y14" i="30"/>
  <c r="Y49" i="30"/>
  <c r="Y4" i="30"/>
  <c r="Y52" i="30"/>
  <c r="Y56" i="30"/>
  <c r="Y48" i="30"/>
  <c r="Y24" i="30"/>
  <c r="Y51" i="30"/>
  <c r="Y55" i="30"/>
  <c r="Y54" i="30"/>
  <c r="Y23" i="30"/>
  <c r="Y5" i="30"/>
  <c r="Y26" i="30"/>
  <c r="Y6" i="30"/>
  <c r="Y27" i="30"/>
  <c r="Y28" i="30"/>
  <c r="Y15" i="30"/>
  <c r="Y58" i="30"/>
  <c r="Y59" i="30"/>
  <c r="Y60" i="30"/>
  <c r="Y61" i="30"/>
  <c r="Y17" i="30"/>
  <c r="Y62" i="30"/>
  <c r="Y7" i="30"/>
  <c r="K3" i="30"/>
  <c r="J3" i="30"/>
  <c r="X3" i="30"/>
  <c r="W3" i="30"/>
  <c r="E6" i="2"/>
  <c r="E3" i="2"/>
  <c r="E6" i="33" l="1"/>
  <c r="E3" i="33"/>
</calcChain>
</file>

<file path=xl/sharedStrings.xml><?xml version="1.0" encoding="utf-8"?>
<sst xmlns="http://schemas.openxmlformats.org/spreadsheetml/2006/main" count="4278" uniqueCount="697">
  <si>
    <t xml:space="preserve">CFU </t>
  </si>
  <si>
    <t>Bloc</t>
  </si>
  <si>
    <t>Diff</t>
  </si>
  <si>
    <t>Aut</t>
  </si>
  <si>
    <t>Hiv</t>
  </si>
  <si>
    <t xml:space="preserve"> Print</t>
  </si>
  <si>
    <t>TOTAL</t>
  </si>
  <si>
    <t>CAUDRON</t>
  </si>
  <si>
    <t>TIMOTHE</t>
  </si>
  <si>
    <t>UDL - UTE LYON 1 POLYTECH</t>
  </si>
  <si>
    <t>MA1P068062</t>
  </si>
  <si>
    <t>ANDRIER</t>
  </si>
  <si>
    <t>SOPHIE</t>
  </si>
  <si>
    <t>UDL - UTE LYON 3</t>
  </si>
  <si>
    <t>MA3U065986</t>
  </si>
  <si>
    <t>CHARLAT</t>
  </si>
  <si>
    <t>SAHEL</t>
  </si>
  <si>
    <t>UDL - UTE LYON 1 SCIENCES</t>
  </si>
  <si>
    <t>MA1U070685</t>
  </si>
  <si>
    <t>ASPERTI</t>
  </si>
  <si>
    <t>ISOLDE</t>
  </si>
  <si>
    <t>UDL - UTE LYON 2</t>
  </si>
  <si>
    <t>MA2U009243</t>
  </si>
  <si>
    <t>DI PIAZZA</t>
  </si>
  <si>
    <t>QUENTIN</t>
  </si>
  <si>
    <t>INSA DE LYON</t>
  </si>
  <si>
    <t>MQ1E012485</t>
  </si>
  <si>
    <t>BARBERA</t>
  </si>
  <si>
    <t>SOLENE</t>
  </si>
  <si>
    <t>MQ1E085490</t>
  </si>
  <si>
    <t>FURBACCO</t>
  </si>
  <si>
    <t>ENZO</t>
  </si>
  <si>
    <t>MA1U028189</t>
  </si>
  <si>
    <t>BARREY</t>
  </si>
  <si>
    <t>THELMA</t>
  </si>
  <si>
    <t>MQ1E018268</t>
  </si>
  <si>
    <t>LAHBIB</t>
  </si>
  <si>
    <t>HELIAS</t>
  </si>
  <si>
    <t>MA1U048784</t>
  </si>
  <si>
    <t>BEAUFORT</t>
  </si>
  <si>
    <t>EMMA</t>
  </si>
  <si>
    <t>UDL - UTE LYON 1 SANTE</t>
  </si>
  <si>
    <t>MA1M088043</t>
  </si>
  <si>
    <t>LAURENT</t>
  </si>
  <si>
    <t>MATHIEU</t>
  </si>
  <si>
    <t>MQ1E012494</t>
  </si>
  <si>
    <t>BELLOIR</t>
  </si>
  <si>
    <t>ELOANE</t>
  </si>
  <si>
    <t>MQ1E018343</t>
  </si>
  <si>
    <t>LUKIC</t>
  </si>
  <si>
    <t>ERWAN</t>
  </si>
  <si>
    <t>MA1U042627</t>
  </si>
  <si>
    <t>BIELAK</t>
  </si>
  <si>
    <t>ZOE</t>
  </si>
  <si>
    <t>UDL - UTE LYON 1 APS</t>
  </si>
  <si>
    <t>MQ1E018180</t>
  </si>
  <si>
    <t>MILHE</t>
  </si>
  <si>
    <t>THIBAUT</t>
  </si>
  <si>
    <t>MQ1E011438</t>
  </si>
  <si>
    <t>BOUCHER</t>
  </si>
  <si>
    <t>ROSE</t>
  </si>
  <si>
    <t>MQ1E063685</t>
  </si>
  <si>
    <t>NOUZIERES</t>
  </si>
  <si>
    <t>SYLVAIN</t>
  </si>
  <si>
    <t>MQ1E018360</t>
  </si>
  <si>
    <t>BOUTAUT</t>
  </si>
  <si>
    <t>ELISE</t>
  </si>
  <si>
    <t>MQ1E009668</t>
  </si>
  <si>
    <t>OLIVRY</t>
  </si>
  <si>
    <t>CORENTIN</t>
  </si>
  <si>
    <t>MQ1E018288</t>
  </si>
  <si>
    <t>BOYENVAL</t>
  </si>
  <si>
    <t>CAMILLE</t>
  </si>
  <si>
    <t>MQ1E009665</t>
  </si>
  <si>
    <t>REY</t>
  </si>
  <si>
    <t>TIMOTHEE</t>
  </si>
  <si>
    <t>MQ1E012483</t>
  </si>
  <si>
    <t>BREILLET</t>
  </si>
  <si>
    <t>LAURA</t>
  </si>
  <si>
    <t>MA2U113104</t>
  </si>
  <si>
    <t>XUCLA-DEFRANOUX</t>
  </si>
  <si>
    <t>JOACHIM</t>
  </si>
  <si>
    <t>MQ1E018358</t>
  </si>
  <si>
    <t>BRUNGARD</t>
  </si>
  <si>
    <t>FANNY</t>
  </si>
  <si>
    <t>MA2U072400</t>
  </si>
  <si>
    <t>ALLAZ</t>
  </si>
  <si>
    <t>ADAM</t>
  </si>
  <si>
    <t>MQ1E022745</t>
  </si>
  <si>
    <t>MA11109990</t>
  </si>
  <si>
    <t>ALMANAGERA</t>
  </si>
  <si>
    <t>ILYAS</t>
  </si>
  <si>
    <t>MA1U089003</t>
  </si>
  <si>
    <t>CAPON</t>
  </si>
  <si>
    <t>LUCIE</t>
  </si>
  <si>
    <t>MQ1E018162</t>
  </si>
  <si>
    <t>FLECK</t>
  </si>
  <si>
    <t>AXEL</t>
  </si>
  <si>
    <t>MQ1E012474</t>
  </si>
  <si>
    <t>CHABERT</t>
  </si>
  <si>
    <t>MANON</t>
  </si>
  <si>
    <t>MA2U009260</t>
  </si>
  <si>
    <t>GARNIER</t>
  </si>
  <si>
    <t>TIMEO</t>
  </si>
  <si>
    <t>MA3U074665</t>
  </si>
  <si>
    <t>CHANTOT</t>
  </si>
  <si>
    <t>ROMANE</t>
  </si>
  <si>
    <t>MQ1E018382</t>
  </si>
  <si>
    <t>JAMANN</t>
  </si>
  <si>
    <t>RAPHAEL</t>
  </si>
  <si>
    <t>MQ1E018384</t>
  </si>
  <si>
    <t>CHEALFA</t>
  </si>
  <si>
    <t>ANDREA</t>
  </si>
  <si>
    <t>MQ1E068574</t>
  </si>
  <si>
    <t>LIMONTA</t>
  </si>
  <si>
    <t>UGO</t>
  </si>
  <si>
    <t>MA1U076207</t>
  </si>
  <si>
    <t>CLAVEAU</t>
  </si>
  <si>
    <t>EMILIE</t>
  </si>
  <si>
    <t>MA1U045436</t>
  </si>
  <si>
    <t>LOUVEL</t>
  </si>
  <si>
    <t>OCTAVE</t>
  </si>
  <si>
    <t>MA1U065975</t>
  </si>
  <si>
    <t>COMBEAUX</t>
  </si>
  <si>
    <t>MQ1E009641</t>
  </si>
  <si>
    <t>MAILLY</t>
  </si>
  <si>
    <t>POL-ALBAN</t>
  </si>
  <si>
    <t>MQ1E018356</t>
  </si>
  <si>
    <t>COMMELIN</t>
  </si>
  <si>
    <t>LUCE</t>
  </si>
  <si>
    <t>MQ1E009679</t>
  </si>
  <si>
    <t>MARCHAND</t>
  </si>
  <si>
    <t>ABEL</t>
  </si>
  <si>
    <t>MA1U065980</t>
  </si>
  <si>
    <t>CONCAS</t>
  </si>
  <si>
    <t>HELOISE</t>
  </si>
  <si>
    <t>MA1P060891</t>
  </si>
  <si>
    <t>VANDER STEGEN DE SCHRIECK</t>
  </si>
  <si>
    <t>THYL</t>
  </si>
  <si>
    <t>MA1U077234</t>
  </si>
  <si>
    <t>DANGE</t>
  </si>
  <si>
    <t>MARINE</t>
  </si>
  <si>
    <t>MQ1E063704</t>
  </si>
  <si>
    <t>VILLERMET</t>
  </si>
  <si>
    <t>JEAN-BAPTISTE</t>
  </si>
  <si>
    <t>MQ1E018329</t>
  </si>
  <si>
    <t>DAUVILLAIRE</t>
  </si>
  <si>
    <t>JEANNA</t>
  </si>
  <si>
    <t>MQ1E018334</t>
  </si>
  <si>
    <t>VORUZ</t>
  </si>
  <si>
    <t>ELIOT</t>
  </si>
  <si>
    <t>MQ1E009654</t>
  </si>
  <si>
    <t>DE SAINTE MARIE</t>
  </si>
  <si>
    <t>MARIE</t>
  </si>
  <si>
    <t>ECOLE NORMALE SUP DE LYON</t>
  </si>
  <si>
    <t>MK1E105815</t>
  </si>
  <si>
    <t>ATTIA</t>
  </si>
  <si>
    <t>THEO</t>
  </si>
  <si>
    <t>MA1U105146</t>
  </si>
  <si>
    <t>DEGRANGE</t>
  </si>
  <si>
    <t>LUCILE</t>
  </si>
  <si>
    <t>MQ1E011434</t>
  </si>
  <si>
    <t>BLANCHE</t>
  </si>
  <si>
    <t>THOMAS</t>
  </si>
  <si>
    <t>MA1P104154</t>
  </si>
  <si>
    <t>DEZELLUS</t>
  </si>
  <si>
    <t>JEANNE</t>
  </si>
  <si>
    <t>MA1U063128</t>
  </si>
  <si>
    <t>TITOUAN</t>
  </si>
  <si>
    <t>MQ1E072246</t>
  </si>
  <si>
    <t>EL GMIRI BOUABBADI</t>
  </si>
  <si>
    <t>AMAL</t>
  </si>
  <si>
    <t>MA11079151</t>
  </si>
  <si>
    <t>CARRON DE LA MORINAIS</t>
  </si>
  <si>
    <t>EMILE</t>
  </si>
  <si>
    <t>MQ1E008033</t>
  </si>
  <si>
    <t>ELANA</t>
  </si>
  <si>
    <t>LORRAINE</t>
  </si>
  <si>
    <t>MA2U024088</t>
  </si>
  <si>
    <t>COLSENET</t>
  </si>
  <si>
    <t>NATHAN</t>
  </si>
  <si>
    <t>MQ1E104941</t>
  </si>
  <si>
    <t>FINCK</t>
  </si>
  <si>
    <t>PAULINE</t>
  </si>
  <si>
    <t>MQ1E009670</t>
  </si>
  <si>
    <t>DAULON</t>
  </si>
  <si>
    <t>ETIENNE</t>
  </si>
  <si>
    <t>MA11064550</t>
  </si>
  <si>
    <t>FIORUCCI</t>
  </si>
  <si>
    <t>OCEANE</t>
  </si>
  <si>
    <t>MA11011627</t>
  </si>
  <si>
    <t>DAUMAS</t>
  </si>
  <si>
    <t>MATHIS</t>
  </si>
  <si>
    <t>MA11014543</t>
  </si>
  <si>
    <t>FOUILLET</t>
  </si>
  <si>
    <t>EVA</t>
  </si>
  <si>
    <t>MA1P060887</t>
  </si>
  <si>
    <t>DAUTRAIT</t>
  </si>
  <si>
    <t>ANTOINE</t>
  </si>
  <si>
    <t>MA1P068061</t>
  </si>
  <si>
    <t>FRABOULET</t>
  </si>
  <si>
    <t>FLORA</t>
  </si>
  <si>
    <t>MQ1E018316</t>
  </si>
  <si>
    <t>DE GOUVILLE</t>
  </si>
  <si>
    <t>VICTOR</t>
  </si>
  <si>
    <t>ECAM LYON</t>
  </si>
  <si>
    <t>MF1E088279</t>
  </si>
  <si>
    <t>GAGET</t>
  </si>
  <si>
    <t>NAIS</t>
  </si>
  <si>
    <t>DEMAISON</t>
  </si>
  <si>
    <t>MA2U037897</t>
  </si>
  <si>
    <t>GOUDOT</t>
  </si>
  <si>
    <t>ANNA</t>
  </si>
  <si>
    <t>MA2U067866</t>
  </si>
  <si>
    <t>DUFOUR</t>
  </si>
  <si>
    <t>TIM</t>
  </si>
  <si>
    <t>MQ1E009642</t>
  </si>
  <si>
    <t>HERMILLY</t>
  </si>
  <si>
    <t>MQ1E030283</t>
  </si>
  <si>
    <t>DUFROS</t>
  </si>
  <si>
    <t>LUCAS</t>
  </si>
  <si>
    <t>MQ1E077685</t>
  </si>
  <si>
    <t>HOOGE</t>
  </si>
  <si>
    <t>COLINE</t>
  </si>
  <si>
    <t>MA2U024067</t>
  </si>
  <si>
    <t>EL KHOMSSI</t>
  </si>
  <si>
    <t>AYMERIC</t>
  </si>
  <si>
    <t>MA11105910</t>
  </si>
  <si>
    <t>HUMBERT</t>
  </si>
  <si>
    <t>CELIA</t>
  </si>
  <si>
    <t>MA11086985</t>
  </si>
  <si>
    <t>FELLOT--BIARD</t>
  </si>
  <si>
    <t>LEON</t>
  </si>
  <si>
    <t>MA1U022659</t>
  </si>
  <si>
    <t>IMBERT MONIEZ</t>
  </si>
  <si>
    <t>MQ1E018354</t>
  </si>
  <si>
    <t>FERNANDES</t>
  </si>
  <si>
    <t>MA11089000</t>
  </si>
  <si>
    <t>IRIS</t>
  </si>
  <si>
    <t>LISA</t>
  </si>
  <si>
    <t>MA1U037182</t>
  </si>
  <si>
    <t>FLORENT</t>
  </si>
  <si>
    <t>FELIX</t>
  </si>
  <si>
    <t>MA3U073685</t>
  </si>
  <si>
    <t>JAYET</t>
  </si>
  <si>
    <t>CLARA</t>
  </si>
  <si>
    <t>MQ1E008028</t>
  </si>
  <si>
    <t>FOUCHET</t>
  </si>
  <si>
    <t>GABRIEL</t>
  </si>
  <si>
    <t>MA1U105799</t>
  </si>
  <si>
    <t>JULLIEN</t>
  </si>
  <si>
    <t>CLEMENTINE</t>
  </si>
  <si>
    <t>MQ1E008029</t>
  </si>
  <si>
    <t>FOURCADE</t>
  </si>
  <si>
    <t>MATIS</t>
  </si>
  <si>
    <t>MA1U025090</t>
  </si>
  <si>
    <t>KEBLI</t>
  </si>
  <si>
    <t>AMEL</t>
  </si>
  <si>
    <t>MA1U099395</t>
  </si>
  <si>
    <t>GALES</t>
  </si>
  <si>
    <t>NILS</t>
  </si>
  <si>
    <t>MA2U024063</t>
  </si>
  <si>
    <t>LALOUBERE</t>
  </si>
  <si>
    <t>EVA-MARIE</t>
  </si>
  <si>
    <t>MQ1E009659</t>
  </si>
  <si>
    <t>GARCIN</t>
  </si>
  <si>
    <t>LUCEO</t>
  </si>
  <si>
    <t>MA1U072527</t>
  </si>
  <si>
    <t>LANCON</t>
  </si>
  <si>
    <t>GAUTIER</t>
  </si>
  <si>
    <t>LOUIS</t>
  </si>
  <si>
    <t>MQ1E008036</t>
  </si>
  <si>
    <t>LE MER</t>
  </si>
  <si>
    <t>ALICE</t>
  </si>
  <si>
    <t>MQ1E018304</t>
  </si>
  <si>
    <t>HERBRETEAU</t>
  </si>
  <si>
    <t>JOSIG</t>
  </si>
  <si>
    <t>MA3U075038</t>
  </si>
  <si>
    <t>LEFRANCOIS</t>
  </si>
  <si>
    <t>MARGAUX</t>
  </si>
  <si>
    <t>MQ1E008043</t>
  </si>
  <si>
    <t>HONORE</t>
  </si>
  <si>
    <t>ALEXANDRE</t>
  </si>
  <si>
    <t>MA1P104731</t>
  </si>
  <si>
    <t>DAMARIS</t>
  </si>
  <si>
    <t>JANSE VAN RENSBURG</t>
  </si>
  <si>
    <t>MEL</t>
  </si>
  <si>
    <t>MQ1E088513</t>
  </si>
  <si>
    <t>LEROY</t>
  </si>
  <si>
    <t>BELEN</t>
  </si>
  <si>
    <t>MA1M005471</t>
  </si>
  <si>
    <t>LE BLAVEC</t>
  </si>
  <si>
    <t>NOE</t>
  </si>
  <si>
    <t>MQ1E008046</t>
  </si>
  <si>
    <t>LOURDAIS</t>
  </si>
  <si>
    <t>MA11082179</t>
  </si>
  <si>
    <t>LEMAIRE</t>
  </si>
  <si>
    <t>ADRIEN</t>
  </si>
  <si>
    <t>MA1U017609</t>
  </si>
  <si>
    <t>MAACH</t>
  </si>
  <si>
    <t>SALMA</t>
  </si>
  <si>
    <t>MA1P038714</t>
  </si>
  <si>
    <t>LUBIN</t>
  </si>
  <si>
    <t>MA1P028149</t>
  </si>
  <si>
    <t>MAHJOUB</t>
  </si>
  <si>
    <t>LINA</t>
  </si>
  <si>
    <t>MQ1E018240</t>
  </si>
  <si>
    <t>LORIFERNE</t>
  </si>
  <si>
    <t>LUCIEN</t>
  </si>
  <si>
    <t>MK1E098905</t>
  </si>
  <si>
    <t>MALET</t>
  </si>
  <si>
    <t>KASSANDRA</t>
  </si>
  <si>
    <t>ENTPE - ENTPE LYON</t>
  </si>
  <si>
    <t>ML1E027868</t>
  </si>
  <si>
    <t>MEISTERMANN</t>
  </si>
  <si>
    <t>HIPPOLYTE</t>
  </si>
  <si>
    <t>MQ1E012469</t>
  </si>
  <si>
    <t>MAUPU</t>
  </si>
  <si>
    <t>MERCUL</t>
  </si>
  <si>
    <t>OILHAN</t>
  </si>
  <si>
    <t>MQ1E011442</t>
  </si>
  <si>
    <t>MORIN</t>
  </si>
  <si>
    <t>MYRIAM</t>
  </si>
  <si>
    <t>MA2U024072</t>
  </si>
  <si>
    <t>MONNET</t>
  </si>
  <si>
    <t>JEAN</t>
  </si>
  <si>
    <t>MA3U045520</t>
  </si>
  <si>
    <t>NECTOUX</t>
  </si>
  <si>
    <t>MAIWENN</t>
  </si>
  <si>
    <t>MONTUSCLAT</t>
  </si>
  <si>
    <t>MA1P067090</t>
  </si>
  <si>
    <t>OLLIVIER</t>
  </si>
  <si>
    <t>CHLOE</t>
  </si>
  <si>
    <t>PELIN</t>
  </si>
  <si>
    <t>LEOPOLD</t>
  </si>
  <si>
    <t>MA2U009265</t>
  </si>
  <si>
    <t>ORSATI</t>
  </si>
  <si>
    <t>CHARLOTTE</t>
  </si>
  <si>
    <t>ML1E027894</t>
  </si>
  <si>
    <t>PESCE</t>
  </si>
  <si>
    <t>LUIS</t>
  </si>
  <si>
    <t>MA11069718</t>
  </si>
  <si>
    <t>PAYAN</t>
  </si>
  <si>
    <t>ELLA</t>
  </si>
  <si>
    <t>MA11077241</t>
  </si>
  <si>
    <t>PISSARD-MANIGUET</t>
  </si>
  <si>
    <t>CHARLES</t>
  </si>
  <si>
    <t>MQ1E034797</t>
  </si>
  <si>
    <t>PINSON</t>
  </si>
  <si>
    <t>CAROLINE</t>
  </si>
  <si>
    <t>MA11112337</t>
  </si>
  <si>
    <t>PLASSE</t>
  </si>
  <si>
    <t>LOIC</t>
  </si>
  <si>
    <t>MA1P103880</t>
  </si>
  <si>
    <t>PLANAT</t>
  </si>
  <si>
    <t>LESLIE</t>
  </si>
  <si>
    <t>REBORA</t>
  </si>
  <si>
    <t>JULIEN</t>
  </si>
  <si>
    <t>MA2U024081</t>
  </si>
  <si>
    <t>PRIOUZEAU</t>
  </si>
  <si>
    <t>JULIE</t>
  </si>
  <si>
    <t>MQ1E008048</t>
  </si>
  <si>
    <t>ROUX</t>
  </si>
  <si>
    <t>MATIAS</t>
  </si>
  <si>
    <t>MQ1E089370</t>
  </si>
  <si>
    <t>REYNOUD</t>
  </si>
  <si>
    <t>LILY</t>
  </si>
  <si>
    <t>SYLVESTRE</t>
  </si>
  <si>
    <t>ANTONIN</t>
  </si>
  <si>
    <t>MA1P105908</t>
  </si>
  <si>
    <t>RIVET</t>
  </si>
  <si>
    <t>MA1U051988</t>
  </si>
  <si>
    <t>TERRASSON</t>
  </si>
  <si>
    <t>SACHA</t>
  </si>
  <si>
    <t>MA1P105909</t>
  </si>
  <si>
    <t>RODARIE</t>
  </si>
  <si>
    <t>AURELISE</t>
  </si>
  <si>
    <t>TIMON-DAVID</t>
  </si>
  <si>
    <t>COLIN</t>
  </si>
  <si>
    <t>MA2U087555</t>
  </si>
  <si>
    <t>ROPERS</t>
  </si>
  <si>
    <t>TESSA</t>
  </si>
  <si>
    <t>TONNIS</t>
  </si>
  <si>
    <t>DORIAN</t>
  </si>
  <si>
    <t>MA1P104768</t>
  </si>
  <si>
    <t>RUCHON-BEL</t>
  </si>
  <si>
    <t>LEA</t>
  </si>
  <si>
    <t>VANO</t>
  </si>
  <si>
    <t>MA1U074981</t>
  </si>
  <si>
    <t>SERENO-NOU</t>
  </si>
  <si>
    <t>MA2U012781</t>
  </si>
  <si>
    <t>VELLA</t>
  </si>
  <si>
    <t>ANDEOL</t>
  </si>
  <si>
    <t>MA1U005473</t>
  </si>
  <si>
    <t>SOLEYMIEUX OUSSELIN</t>
  </si>
  <si>
    <t>LOLA</t>
  </si>
  <si>
    <t>MA11088041</t>
  </si>
  <si>
    <t>VINCENT</t>
  </si>
  <si>
    <t>ROMAIN</t>
  </si>
  <si>
    <t>MA11015390</t>
  </si>
  <si>
    <t>TEIXEIRA</t>
  </si>
  <si>
    <t>ALICIA</t>
  </si>
  <si>
    <t>MQ1E012495</t>
  </si>
  <si>
    <t>VIVIAND</t>
  </si>
  <si>
    <t>TOLIN</t>
  </si>
  <si>
    <t>MA1P005513</t>
  </si>
  <si>
    <t>TRABET</t>
  </si>
  <si>
    <t>ELISA</t>
  </si>
  <si>
    <t>MQ1E077678</t>
  </si>
  <si>
    <t>YAFFA</t>
  </si>
  <si>
    <t>OUSMANE</t>
  </si>
  <si>
    <t>ZHANG</t>
  </si>
  <si>
    <t>JING</t>
  </si>
  <si>
    <t>MA11089918</t>
  </si>
  <si>
    <t>BENZAZA BRUNO</t>
  </si>
  <si>
    <t>NEGI</t>
  </si>
  <si>
    <t>MQ1E077673</t>
  </si>
  <si>
    <t>BERNARD</t>
  </si>
  <si>
    <t>HUGO</t>
  </si>
  <si>
    <t>MA11072526</t>
  </si>
  <si>
    <t>BERTHUIT</t>
  </si>
  <si>
    <t>NICOLAS</t>
  </si>
  <si>
    <t>MQ1E008035</t>
  </si>
  <si>
    <t>BESSON</t>
  </si>
  <si>
    <t>UDL-UTE LYON 1</t>
  </si>
  <si>
    <t>MA1P079876</t>
  </si>
  <si>
    <t>BIENVENU</t>
  </si>
  <si>
    <t>MARIUS</t>
  </si>
  <si>
    <t>MA11089325</t>
  </si>
  <si>
    <t>BONADA</t>
  </si>
  <si>
    <t>MA1P085713</t>
  </si>
  <si>
    <t>BOUCHET</t>
  </si>
  <si>
    <t>UDL - UJM ST ETIENNE</t>
  </si>
  <si>
    <t>MA7U086534</t>
  </si>
  <si>
    <t>BURTIN</t>
  </si>
  <si>
    <t>YANIS</t>
  </si>
  <si>
    <t>MA11031747</t>
  </si>
  <si>
    <t>CALPETARD</t>
  </si>
  <si>
    <t>YOHAN</t>
  </si>
  <si>
    <t>MA2U067862</t>
  </si>
  <si>
    <t>CARETTE</t>
  </si>
  <si>
    <t>ARTHUR</t>
  </si>
  <si>
    <t>MK1E098385</t>
  </si>
  <si>
    <t>CASTILLO SEGURA</t>
  </si>
  <si>
    <t>PABLO</t>
  </si>
  <si>
    <t>MA11092621</t>
  </si>
  <si>
    <t>COINTET</t>
  </si>
  <si>
    <t>EVAN</t>
  </si>
  <si>
    <t>MA11113155</t>
  </si>
  <si>
    <t>DESGLAND</t>
  </si>
  <si>
    <t>ECOLE CENTRALE DE LYON</t>
  </si>
  <si>
    <t>MG1E013980</t>
  </si>
  <si>
    <t>DIAZ</t>
  </si>
  <si>
    <t>MATTEO</t>
  </si>
  <si>
    <t>MK1E113113</t>
  </si>
  <si>
    <t>EL FHAL</t>
  </si>
  <si>
    <t>BADIS</t>
  </si>
  <si>
    <t>MA11111058</t>
  </si>
  <si>
    <t>EPARVIER</t>
  </si>
  <si>
    <t>CLEMENT</t>
  </si>
  <si>
    <t>MK1E106007</t>
  </si>
  <si>
    <t>FERRIER</t>
  </si>
  <si>
    <t>MA11112110</t>
  </si>
  <si>
    <t>FORTERRE</t>
  </si>
  <si>
    <t>ELIUD</t>
  </si>
  <si>
    <t>MK1E106002</t>
  </si>
  <si>
    <t>FRANCE</t>
  </si>
  <si>
    <t>MATHIAS</t>
  </si>
  <si>
    <t>MQ1E011459</t>
  </si>
  <si>
    <t>FRUCTUS</t>
  </si>
  <si>
    <t>GUY</t>
  </si>
  <si>
    <t>MA11089324</t>
  </si>
  <si>
    <t>GERRIER</t>
  </si>
  <si>
    <t>MA11007791</t>
  </si>
  <si>
    <t>GRIOTIER--RAPPO</t>
  </si>
  <si>
    <t>MA11112624</t>
  </si>
  <si>
    <t>GUERIN</t>
  </si>
  <si>
    <t>MARTIN</t>
  </si>
  <si>
    <t>MK1E106048</t>
  </si>
  <si>
    <t>LABESSEDE</t>
  </si>
  <si>
    <t>MA11017579</t>
  </si>
  <si>
    <t>LE BIGOT</t>
  </si>
  <si>
    <t>BASTIEN</t>
  </si>
  <si>
    <t>MQ1E063682</t>
  </si>
  <si>
    <t>LENTZNER</t>
  </si>
  <si>
    <t>MA1U072530</t>
  </si>
  <si>
    <t>MALLET</t>
  </si>
  <si>
    <t>MA1P104405</t>
  </si>
  <si>
    <t>MARATIER-VOCCIA</t>
  </si>
  <si>
    <t>CELIAN</t>
  </si>
  <si>
    <t>MA1M112004</t>
  </si>
  <si>
    <t>MARROCCO</t>
  </si>
  <si>
    <t>MA1U015392</t>
  </si>
  <si>
    <t>MAYAUD</t>
  </si>
  <si>
    <t>FOUCAULD</t>
  </si>
  <si>
    <t>MQ1E011430</t>
  </si>
  <si>
    <t>NUGUES</t>
  </si>
  <si>
    <t>PHILIPPE</t>
  </si>
  <si>
    <t>MQ1E028557</t>
  </si>
  <si>
    <t>PAYET</t>
  </si>
  <si>
    <t>ALEX</t>
  </si>
  <si>
    <t>MA11086398</t>
  </si>
  <si>
    <t>PELLERIN</t>
  </si>
  <si>
    <t>MA11113154</t>
  </si>
  <si>
    <t>PERDRIX</t>
  </si>
  <si>
    <t>ML1E027903</t>
  </si>
  <si>
    <t>PERRICHON</t>
  </si>
  <si>
    <t>UDL - UJM STAPS</t>
  </si>
  <si>
    <t>MA71071982</t>
  </si>
  <si>
    <t>QUERNE</t>
  </si>
  <si>
    <t>GWENDAL</t>
  </si>
  <si>
    <t>MG1E089159</t>
  </si>
  <si>
    <t>SABY</t>
  </si>
  <si>
    <t>MA71067507</t>
  </si>
  <si>
    <t>SAUNIER</t>
  </si>
  <si>
    <t>JUSTIN</t>
  </si>
  <si>
    <t>MQ1E099094</t>
  </si>
  <si>
    <t>SCHMITT</t>
  </si>
  <si>
    <t>BAPTISTE</t>
  </si>
  <si>
    <t>MQ1E008040</t>
  </si>
  <si>
    <t>TERRINGTON</t>
  </si>
  <si>
    <t>PAUL</t>
  </si>
  <si>
    <t>ML1E027950</t>
  </si>
  <si>
    <t>VANDERSTRAETEN</t>
  </si>
  <si>
    <t>MA1I031736</t>
  </si>
  <si>
    <t>WEBER</t>
  </si>
  <si>
    <t>MQ1E009657</t>
  </si>
  <si>
    <t>ZABILA</t>
  </si>
  <si>
    <t>MALIK</t>
  </si>
  <si>
    <t>MA2U072455</t>
  </si>
  <si>
    <t>LYON</t>
  </si>
  <si>
    <t>GRENOBLE</t>
  </si>
  <si>
    <t>CLERMONT</t>
  </si>
  <si>
    <t>AUTRE</t>
  </si>
  <si>
    <t>DATES</t>
  </si>
  <si>
    <t>PARTICIPANTS</t>
  </si>
  <si>
    <t>EQUIPES</t>
  </si>
  <si>
    <t>PARTICIPATIONS</t>
  </si>
  <si>
    <t>F</t>
  </si>
  <si>
    <t>G</t>
  </si>
  <si>
    <t>M</t>
  </si>
  <si>
    <t>Ute</t>
  </si>
  <si>
    <t>Ecole</t>
  </si>
  <si>
    <t>ANIMATION</t>
  </si>
  <si>
    <t>EQ CHALLENGE AUTONNE</t>
  </si>
  <si>
    <t>EQ CHALLENGE HIVER</t>
  </si>
  <si>
    <t>EQ CHALLENGE PRINTEMPS</t>
  </si>
  <si>
    <t>ACADEMIQUE</t>
  </si>
  <si>
    <t>IND BLOCS</t>
  </si>
  <si>
    <t>IND DIFFICULTES</t>
  </si>
  <si>
    <t>NATIONAL</t>
  </si>
  <si>
    <t>ESCALADE  2024 / 2025</t>
  </si>
  <si>
    <t>Championnat de France</t>
  </si>
  <si>
    <t>Escalade</t>
  </si>
  <si>
    <t>Masculin</t>
  </si>
  <si>
    <t>Combiné</t>
  </si>
  <si>
    <t>Difficulté</t>
  </si>
  <si>
    <t>Féminin</t>
  </si>
  <si>
    <t>Mixte</t>
  </si>
  <si>
    <t>Par équipe d'AS</t>
  </si>
  <si>
    <t>ESCALADE 2024 / 2025</t>
  </si>
  <si>
    <t>Championnat d'Académie</t>
  </si>
  <si>
    <t>Epreuve de bloc</t>
  </si>
  <si>
    <t>UDL - UTE LYON 1 IUT</t>
  </si>
  <si>
    <t>MA11043485</t>
  </si>
  <si>
    <t>JOËT</t>
  </si>
  <si>
    <t>TIZAN</t>
  </si>
  <si>
    <t>ML1E027839</t>
  </si>
  <si>
    <t>NC</t>
  </si>
  <si>
    <t>Epreuve de Difficulté</t>
  </si>
  <si>
    <t>8B - TOP</t>
  </si>
  <si>
    <t>8B - 34</t>
  </si>
  <si>
    <t>8B - 30</t>
  </si>
  <si>
    <t>8B - 26</t>
  </si>
  <si>
    <t>8B - 22</t>
  </si>
  <si>
    <t>7C+ - 38+</t>
  </si>
  <si>
    <t>7C+ - 37+</t>
  </si>
  <si>
    <t>7C+ - 37</t>
  </si>
  <si>
    <t>7C+ - 36+</t>
  </si>
  <si>
    <t>7B+ - 36+</t>
  </si>
  <si>
    <t>7B+ - 35+</t>
  </si>
  <si>
    <t>7B+ - 34+</t>
  </si>
  <si>
    <t>7B+ - 29+</t>
  </si>
  <si>
    <t>7B+ - 19+</t>
  </si>
  <si>
    <t>7A+ - 70+</t>
  </si>
  <si>
    <t>7A+ - 69+</t>
  </si>
  <si>
    <t>7A+ - 68+</t>
  </si>
  <si>
    <t>7A+ - 68</t>
  </si>
  <si>
    <t>7A+ - 67+</t>
  </si>
  <si>
    <t>7A+ - 69</t>
  </si>
  <si>
    <t>7A+ - 63+</t>
  </si>
  <si>
    <t>7A+ - 60+</t>
  </si>
  <si>
    <t>7A+ - 56</t>
  </si>
  <si>
    <t>7A+ - 59+</t>
  </si>
  <si>
    <t xml:space="preserve">7A+ - 50 + </t>
  </si>
  <si>
    <t>7A+ - 50+</t>
  </si>
  <si>
    <t>7A+ - 50</t>
  </si>
  <si>
    <t>7A+ - 48+</t>
  </si>
  <si>
    <t>7A+ - 47+</t>
  </si>
  <si>
    <t>7A+ - 46</t>
  </si>
  <si>
    <t>7A+ - 45</t>
  </si>
  <si>
    <t>6C+ - TOP</t>
  </si>
  <si>
    <t>6C+ - 39</t>
  </si>
  <si>
    <t>6C+ - 33</t>
  </si>
  <si>
    <t>6C+ - 15</t>
  </si>
  <si>
    <t>6C+ - 14+</t>
  </si>
  <si>
    <t>6C + TOP</t>
  </si>
  <si>
    <t>6C + 38+</t>
  </si>
  <si>
    <t>6C - 38+</t>
  </si>
  <si>
    <t>6C - 29+</t>
  </si>
  <si>
    <t>6C - 27</t>
  </si>
  <si>
    <t>6C - 13</t>
  </si>
  <si>
    <t>6B - TOP</t>
  </si>
  <si>
    <t>63 - TOP</t>
  </si>
  <si>
    <t>6B - 27</t>
  </si>
  <si>
    <t>6B - 21</t>
  </si>
  <si>
    <t>6B - 18+</t>
  </si>
  <si>
    <t>6B - 18</t>
  </si>
  <si>
    <t>6B - 16+</t>
  </si>
  <si>
    <t>6B - 13</t>
  </si>
  <si>
    <t>6B - 12</t>
  </si>
  <si>
    <t>6B - 4+</t>
  </si>
  <si>
    <t>6A - TOP</t>
  </si>
  <si>
    <t>6A - 23</t>
  </si>
  <si>
    <t>6A - 19</t>
  </si>
  <si>
    <t>5C - TOP</t>
  </si>
  <si>
    <t>5C - 44</t>
  </si>
  <si>
    <t>5C - 32</t>
  </si>
  <si>
    <t>ABS</t>
  </si>
  <si>
    <t> </t>
  </si>
  <si>
    <t>RIOU</t>
  </si>
  <si>
    <t>TRISTAN</t>
  </si>
  <si>
    <t>MA2U057988</t>
  </si>
  <si>
    <t>7c+ - 39</t>
  </si>
  <si>
    <t>7B - 31</t>
  </si>
  <si>
    <t>7B - 30+</t>
  </si>
  <si>
    <t>7B - 27+</t>
  </si>
  <si>
    <t>7B - 20+</t>
  </si>
  <si>
    <t>7B - 16+</t>
  </si>
  <si>
    <t>7B - 15</t>
  </si>
  <si>
    <t>7A - TOP</t>
  </si>
  <si>
    <t>7A - 32+</t>
  </si>
  <si>
    <t>7A - 28+</t>
  </si>
  <si>
    <t>7A - 25</t>
  </si>
  <si>
    <t>7A - 24</t>
  </si>
  <si>
    <t>7A - 21+</t>
  </si>
  <si>
    <t>6C - 42</t>
  </si>
  <si>
    <t>6C - 39</t>
  </si>
  <si>
    <t>6C - 36+</t>
  </si>
  <si>
    <t>6c - 36</t>
  </si>
  <si>
    <t>MQ1E072243</t>
  </si>
  <si>
    <t>6C - 35</t>
  </si>
  <si>
    <t>6C - 34</t>
  </si>
  <si>
    <t>6C - 31+</t>
  </si>
  <si>
    <t>6C - 31</t>
  </si>
  <si>
    <t>6C - 23</t>
  </si>
  <si>
    <t>6C - 21+</t>
  </si>
  <si>
    <t>6C - 19+</t>
  </si>
  <si>
    <t>6C - 19</t>
  </si>
  <si>
    <t>6B - 34</t>
  </si>
  <si>
    <t>6B - 33</t>
  </si>
  <si>
    <t>MA11101489</t>
  </si>
  <si>
    <t>6B - 26</t>
  </si>
  <si>
    <t>6B - 15+</t>
  </si>
  <si>
    <t>MA11005529</t>
  </si>
  <si>
    <t>MA11005633</t>
  </si>
  <si>
    <t>6A - 29</t>
  </si>
  <si>
    <t>MA11094519</t>
  </si>
  <si>
    <t>6A - 28</t>
  </si>
  <si>
    <t>MA11093793</t>
  </si>
  <si>
    <t>6A - 21+</t>
  </si>
  <si>
    <t>MA11103866</t>
  </si>
  <si>
    <t>6A - 18</t>
  </si>
  <si>
    <t>MA3U105661</t>
  </si>
  <si>
    <t>5C - 38</t>
  </si>
  <si>
    <t>5C - 36+</t>
  </si>
  <si>
    <t>MA11111056</t>
  </si>
  <si>
    <t>5B - TOP</t>
  </si>
  <si>
    <t>MQ1E102963</t>
  </si>
  <si>
    <t>DE LA LAURENCIE</t>
  </si>
  <si>
    <t>UDL - ASU ESA BRON</t>
  </si>
  <si>
    <t>MA4E059757</t>
  </si>
  <si>
    <t>Autres résultats</t>
  </si>
  <si>
    <t>Challenge Automne 
par équipe</t>
  </si>
  <si>
    <t>Alternatif</t>
  </si>
  <si>
    <t>Challenge Hiver par équipe</t>
  </si>
  <si>
    <t>Challenge printemps par équipe</t>
  </si>
  <si>
    <t>Recap</t>
  </si>
  <si>
    <t>GOTTE</t>
  </si>
  <si>
    <t>ANGELIQUE</t>
  </si>
  <si>
    <t>MA2U116712</t>
  </si>
  <si>
    <t>GAUMET</t>
  </si>
  <si>
    <t>JADE</t>
  </si>
  <si>
    <t>MA2U116713</t>
  </si>
  <si>
    <t>LE GOFF</t>
  </si>
  <si>
    <t>CAPUCINE</t>
  </si>
  <si>
    <t>MQ1E077684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</si>
</sst>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FF"/>
      <name val="Calibri"/>
      <family val="2"/>
      <scheme val="minor"/>
    </font>
    <font>
      <sz val="10"/>
      <color rgb="FF000099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0066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14"/>
      <name val="Calibri"/>
      <family val="2"/>
      <scheme val="minor"/>
    </font>
    <font>
      <b/>
      <sz val="10"/>
      <color rgb="FFFF00FF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14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17"/>
      <name val="Calibri"/>
      <family val="2"/>
      <scheme val="minor"/>
    </font>
    <font>
      <b/>
      <sz val="10"/>
      <color rgb="FF0066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name val="Arial"/>
      <family val="2"/>
    </font>
    <font>
      <u/>
      <sz val="10"/>
      <color theme="10"/>
      <name val="Arial"/>
      <family val="2"/>
    </font>
    <font>
      <b/>
      <sz val="12"/>
      <color indexed="9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66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12"/>
      <name val="Calibri"/>
      <family val="2"/>
      <scheme val="minor"/>
    </font>
    <font>
      <sz val="12"/>
      <color rgb="FF0000FF"/>
      <name val="Calibri"/>
      <family val="2"/>
      <scheme val="minor"/>
    </font>
    <font>
      <sz val="10"/>
      <color rgb="FF000099"/>
      <name val="Calibri"/>
      <family val="2"/>
    </font>
    <font>
      <sz val="10"/>
      <color rgb="FF0000FF"/>
      <name val="Calibri"/>
      <family val="2"/>
    </font>
    <font>
      <sz val="10"/>
      <color rgb="FFFF0000"/>
      <name val="Calibri"/>
      <family val="2"/>
    </font>
    <font>
      <sz val="10"/>
      <color rgb="FF006600"/>
      <name val="Calibri"/>
      <family val="2"/>
    </font>
    <font>
      <sz val="10"/>
      <color rgb="FFFF00FF"/>
      <name val="Calibri"/>
      <family val="2"/>
    </font>
    <font>
      <b/>
      <sz val="10"/>
      <color theme="0"/>
      <name val="Calibri"/>
      <family val="2"/>
    </font>
    <font>
      <b/>
      <sz val="10"/>
      <color rgb="FF0000FF"/>
      <name val="Calibri"/>
      <family val="2"/>
    </font>
    <font>
      <b/>
      <sz val="12"/>
      <color indexed="18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FF00FF"/>
      <name val="Calibri"/>
      <family val="2"/>
    </font>
    <font>
      <sz val="8"/>
      <name val="Arial"/>
      <family val="2"/>
    </font>
    <font>
      <b/>
      <sz val="10"/>
      <color rgb="FF006600"/>
      <name val="Calibri"/>
      <family val="2"/>
    </font>
    <font>
      <b/>
      <sz val="10"/>
      <color rgb="FFFFFFFF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FF"/>
        <bgColor rgb="FF000000"/>
      </patternFill>
    </fill>
    <fill>
      <patternFill patternType="solid">
        <fgColor rgb="FF0000FF"/>
        <bgColor rgb="FF000000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8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34" fillId="8" borderId="0" applyNumberFormat="0" applyBorder="0" applyAlignment="0" applyProtection="0"/>
    <xf numFmtId="0" fontId="35" fillId="9" borderId="0" applyNumberFormat="0" applyBorder="0" applyAlignment="0" applyProtection="0"/>
    <xf numFmtId="0" fontId="36" fillId="10" borderId="9" applyNumberFormat="0" applyAlignment="0" applyProtection="0"/>
    <xf numFmtId="0" fontId="37" fillId="11" borderId="10" applyNumberFormat="0" applyAlignment="0" applyProtection="0"/>
    <xf numFmtId="0" fontId="38" fillId="11" borderId="9" applyNumberFormat="0" applyAlignment="0" applyProtection="0"/>
    <xf numFmtId="0" fontId="39" fillId="0" borderId="11" applyNumberFormat="0" applyFill="0" applyAlignment="0" applyProtection="0"/>
    <xf numFmtId="0" fontId="40" fillId="12" borderId="12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4" applyNumberFormat="0" applyFill="0" applyAlignment="0" applyProtection="0"/>
    <xf numFmtId="0" fontId="4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13" borderId="13" applyNumberFormat="0" applyFont="0" applyAlignment="0" applyProtection="0"/>
    <xf numFmtId="0" fontId="46" fillId="0" borderId="0" applyNumberFormat="0" applyFill="0" applyBorder="0" applyAlignment="0" applyProtection="0"/>
  </cellStyleXfs>
  <cellXfs count="16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4" fillId="0" borderId="0" xfId="0" applyFont="1" applyAlignment="1">
      <alignment horizontal="right" vertical="top"/>
    </xf>
    <xf numFmtId="0" fontId="15" fillId="0" borderId="0" xfId="0" applyFont="1" applyAlignment="1">
      <alignment horizontal="left" vertical="center"/>
    </xf>
    <xf numFmtId="0" fontId="1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/>
    <xf numFmtId="0" fontId="16" fillId="0" borderId="1" xfId="0" applyFont="1" applyBorder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4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17" fillId="0" borderId="0" xfId="0" applyFont="1" applyAlignment="1">
      <alignment vertical="center"/>
    </xf>
    <xf numFmtId="14" fontId="23" fillId="6" borderId="0" xfId="0" applyNumberFormat="1" applyFont="1" applyFill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11" fillId="6" borderId="0" xfId="0" applyNumberFormat="1" applyFont="1" applyFill="1" applyAlignment="1">
      <alignment vertical="center"/>
    </xf>
    <xf numFmtId="0" fontId="20" fillId="0" borderId="1" xfId="0" applyFont="1" applyBorder="1" applyAlignment="1">
      <alignment horizontal="right"/>
    </xf>
    <xf numFmtId="0" fontId="21" fillId="0" borderId="1" xfId="0" applyFont="1" applyBorder="1" applyAlignment="1">
      <alignment horizontal="right" vertical="center"/>
    </xf>
    <xf numFmtId="14" fontId="23" fillId="0" borderId="0" xfId="0" applyNumberFormat="1" applyFont="1" applyAlignment="1">
      <alignment vertical="center"/>
    </xf>
    <xf numFmtId="0" fontId="11" fillId="4" borderId="0" xfId="0" applyFont="1" applyFill="1" applyAlignment="1">
      <alignment horizontal="center" vertical="center"/>
    </xf>
    <xf numFmtId="0" fontId="23" fillId="0" borderId="1" xfId="0" applyFont="1" applyBorder="1"/>
    <xf numFmtId="0" fontId="11" fillId="3" borderId="1" xfId="0" applyFont="1" applyFill="1" applyBorder="1"/>
    <xf numFmtId="0" fontId="11" fillId="4" borderId="16" xfId="0" applyFont="1" applyFill="1" applyBorder="1" applyAlignment="1">
      <alignment horizontal="center"/>
    </xf>
    <xf numFmtId="14" fontId="4" fillId="0" borderId="2" xfId="0" applyNumberFormat="1" applyFont="1" applyBorder="1"/>
    <xf numFmtId="0" fontId="19" fillId="0" borderId="1" xfId="0" applyFont="1" applyBorder="1" applyAlignment="1">
      <alignment horizontal="center"/>
    </xf>
    <xf numFmtId="0" fontId="45" fillId="0" borderId="0" xfId="0" applyFont="1" applyAlignment="1">
      <alignment vertical="center" wrapText="1"/>
    </xf>
    <xf numFmtId="0" fontId="19" fillId="0" borderId="1" xfId="0" applyFont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19" fillId="39" borderId="1" xfId="0" applyFont="1" applyFill="1" applyBorder="1" applyAlignment="1">
      <alignment horizontal="center"/>
    </xf>
    <xf numFmtId="2" fontId="4" fillId="0" borderId="0" xfId="0" applyNumberFormat="1" applyFont="1" applyAlignment="1">
      <alignment vertical="center"/>
    </xf>
    <xf numFmtId="0" fontId="19" fillId="41" borderId="1" xfId="0" applyFont="1" applyFill="1" applyBorder="1" applyAlignment="1">
      <alignment horizontal="center"/>
    </xf>
    <xf numFmtId="0" fontId="19" fillId="41" borderId="1" xfId="0" applyFont="1" applyFill="1" applyBorder="1"/>
    <xf numFmtId="0" fontId="19" fillId="41" borderId="1" xfId="0" applyFont="1" applyFill="1" applyBorder="1" applyAlignment="1">
      <alignment horizontal="center" wrapText="1"/>
    </xf>
    <xf numFmtId="0" fontId="19" fillId="41" borderId="1" xfId="0" applyFont="1" applyFill="1" applyBorder="1" applyAlignment="1">
      <alignment horizontal="center" vertical="center" wrapText="1"/>
    </xf>
    <xf numFmtId="0" fontId="4" fillId="40" borderId="1" xfId="0" applyFont="1" applyFill="1" applyBorder="1"/>
    <xf numFmtId="0" fontId="5" fillId="40" borderId="1" xfId="0" applyFont="1" applyFill="1" applyBorder="1" applyAlignment="1">
      <alignment horizontal="center"/>
    </xf>
    <xf numFmtId="0" fontId="15" fillId="40" borderId="1" xfId="0" applyFont="1" applyFill="1" applyBorder="1"/>
    <xf numFmtId="0" fontId="19" fillId="39" borderId="1" xfId="0" applyFont="1" applyFill="1" applyBorder="1"/>
    <xf numFmtId="0" fontId="4" fillId="42" borderId="1" xfId="0" applyFont="1" applyFill="1" applyBorder="1"/>
    <xf numFmtId="0" fontId="5" fillId="42" borderId="1" xfId="0" applyFont="1" applyFill="1" applyBorder="1" applyAlignment="1">
      <alignment horizontal="center"/>
    </xf>
    <xf numFmtId="0" fontId="15" fillId="42" borderId="1" xfId="0" applyFont="1" applyFill="1" applyBorder="1"/>
    <xf numFmtId="0" fontId="4" fillId="42" borderId="1" xfId="0" applyFont="1" applyFill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8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4" fillId="0" borderId="17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54" fillId="0" borderId="17" xfId="0" applyFont="1" applyBorder="1" applyAlignment="1">
      <alignment wrapText="1"/>
    </xf>
    <xf numFmtId="0" fontId="57" fillId="0" borderId="17" xfId="0" applyFont="1" applyBorder="1" applyAlignment="1">
      <alignment wrapText="1"/>
    </xf>
    <xf numFmtId="0" fontId="24" fillId="0" borderId="17" xfId="0" applyFont="1" applyBorder="1" applyAlignment="1">
      <alignment horizontal="left" vertical="top"/>
    </xf>
    <xf numFmtId="0" fontId="57" fillId="0" borderId="17" xfId="0" applyFont="1" applyBorder="1"/>
    <xf numFmtId="0" fontId="59" fillId="3" borderId="17" xfId="0" applyFont="1" applyFill="1" applyBorder="1" applyAlignment="1">
      <alignment horizontal="right" wrapText="1"/>
    </xf>
    <xf numFmtId="0" fontId="60" fillId="0" borderId="17" xfId="0" applyFont="1" applyBorder="1" applyAlignment="1">
      <alignment horizontal="right" wrapText="1"/>
    </xf>
    <xf numFmtId="0" fontId="22" fillId="0" borderId="17" xfId="0" applyFont="1" applyBorder="1" applyAlignment="1">
      <alignment horizontal="right" wrapText="1"/>
    </xf>
    <xf numFmtId="0" fontId="61" fillId="0" borderId="0" xfId="0" applyFont="1" applyAlignment="1">
      <alignment horizontal="right" vertical="center"/>
    </xf>
    <xf numFmtId="0" fontId="10" fillId="40" borderId="1" xfId="0" applyFont="1" applyFill="1" applyBorder="1" applyAlignment="1">
      <alignment horizontal="center"/>
    </xf>
    <xf numFmtId="0" fontId="10" fillId="40" borderId="1" xfId="0" applyFont="1" applyFill="1" applyBorder="1"/>
    <xf numFmtId="0" fontId="10" fillId="40" borderId="1" xfId="0" applyFont="1" applyFill="1" applyBorder="1" applyAlignment="1">
      <alignment horizontal="center" wrapText="1"/>
    </xf>
    <xf numFmtId="0" fontId="10" fillId="40" borderId="1" xfId="0" applyFont="1" applyFill="1" applyBorder="1" applyAlignment="1">
      <alignment horizontal="center" vertical="center" wrapText="1"/>
    </xf>
    <xf numFmtId="0" fontId="15" fillId="42" borderId="1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right" wrapText="1"/>
    </xf>
    <xf numFmtId="0" fontId="12" fillId="0" borderId="17" xfId="0" applyFont="1" applyBorder="1" applyAlignment="1">
      <alignment horizontal="left" wrapText="1"/>
    </xf>
    <xf numFmtId="0" fontId="55" fillId="0" borderId="0" xfId="0" applyFont="1" applyAlignment="1">
      <alignment wrapText="1"/>
    </xf>
    <xf numFmtId="0" fontId="56" fillId="0" borderId="0" xfId="0" applyFont="1" applyAlignment="1">
      <alignment wrapText="1"/>
    </xf>
    <xf numFmtId="0" fontId="57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4" fillId="38" borderId="1" xfId="0" applyFont="1" applyFill="1" applyBorder="1" applyAlignment="1">
      <alignment wrapText="1"/>
    </xf>
    <xf numFmtId="0" fontId="62" fillId="0" borderId="0" xfId="0" applyFont="1" applyAlignment="1">
      <alignment wrapText="1"/>
    </xf>
    <xf numFmtId="0" fontId="4" fillId="42" borderId="1" xfId="0" applyFont="1" applyFill="1" applyBorder="1" applyAlignment="1">
      <alignment horizontal="center" wrapText="1"/>
    </xf>
    <xf numFmtId="0" fontId="65" fillId="0" borderId="4" xfId="0" applyFont="1" applyBorder="1" applyAlignment="1">
      <alignment horizontal="center" vertical="center" wrapText="1"/>
    </xf>
    <xf numFmtId="0" fontId="65" fillId="0" borderId="3" xfId="0" applyFont="1" applyBorder="1" applyAlignment="1">
      <alignment horizontal="center" vertical="center" wrapText="1"/>
    </xf>
    <xf numFmtId="0" fontId="65" fillId="0" borderId="5" xfId="0" applyFont="1" applyBorder="1" applyAlignment="1">
      <alignment horizontal="center" vertical="center" wrapText="1"/>
    </xf>
    <xf numFmtId="0" fontId="4" fillId="40" borderId="1" xfId="0" applyFont="1" applyFill="1" applyBorder="1" applyAlignment="1">
      <alignment horizontal="center"/>
    </xf>
    <xf numFmtId="0" fontId="15" fillId="40" borderId="1" xfId="0" applyFont="1" applyFill="1" applyBorder="1" applyAlignment="1">
      <alignment horizontal="center"/>
    </xf>
    <xf numFmtId="0" fontId="58" fillId="0" borderId="18" xfId="0" applyFont="1" applyBorder="1" applyAlignment="1">
      <alignment wrapText="1"/>
    </xf>
    <xf numFmtId="0" fontId="55" fillId="0" borderId="18" xfId="0" applyFont="1" applyBorder="1" applyAlignment="1">
      <alignment wrapText="1"/>
    </xf>
    <xf numFmtId="0" fontId="56" fillId="0" borderId="18" xfId="0" applyFont="1" applyBorder="1" applyAlignment="1">
      <alignment wrapText="1"/>
    </xf>
    <xf numFmtId="0" fontId="58" fillId="0" borderId="19" xfId="0" applyFont="1" applyBorder="1" applyAlignment="1">
      <alignment wrapText="1"/>
    </xf>
    <xf numFmtId="0" fontId="55" fillId="0" borderId="19" xfId="0" applyFont="1" applyBorder="1" applyAlignment="1">
      <alignment wrapText="1"/>
    </xf>
    <xf numFmtId="0" fontId="56" fillId="0" borderId="19" xfId="0" applyFont="1" applyBorder="1" applyAlignment="1">
      <alignment wrapText="1"/>
    </xf>
    <xf numFmtId="0" fontId="54" fillId="0" borderId="18" xfId="0" applyFont="1" applyBorder="1" applyAlignment="1">
      <alignment wrapText="1"/>
    </xf>
    <xf numFmtId="0" fontId="54" fillId="0" borderId="19" xfId="0" applyFont="1" applyBorder="1" applyAlignment="1">
      <alignment wrapText="1"/>
    </xf>
    <xf numFmtId="0" fontId="6" fillId="0" borderId="1" xfId="0" applyFont="1" applyBorder="1"/>
    <xf numFmtId="0" fontId="4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66" fillId="43" borderId="1" xfId="0" applyFont="1" applyFill="1" applyBorder="1" applyAlignment="1">
      <alignment horizontal="right" wrapText="1"/>
    </xf>
    <xf numFmtId="0" fontId="63" fillId="0" borderId="5" xfId="0" applyFont="1" applyBorder="1" applyAlignment="1">
      <alignment horizontal="right" wrapText="1"/>
    </xf>
    <xf numFmtId="0" fontId="17" fillId="0" borderId="0" xfId="0" applyFont="1"/>
    <xf numFmtId="0" fontId="57" fillId="0" borderId="19" xfId="0" applyFont="1" applyBorder="1" applyAlignment="1">
      <alignment wrapText="1"/>
    </xf>
    <xf numFmtId="0" fontId="65" fillId="0" borderId="18" xfId="0" applyFont="1" applyBorder="1" applyAlignment="1">
      <alignment wrapText="1"/>
    </xf>
    <xf numFmtId="0" fontId="65" fillId="0" borderId="19" xfId="0" applyFont="1" applyBorder="1" applyAlignment="1">
      <alignment wrapText="1"/>
    </xf>
    <xf numFmtId="0" fontId="65" fillId="0" borderId="18" xfId="0" applyFont="1" applyBorder="1" applyAlignment="1">
      <alignment horizontal="right" wrapText="1"/>
    </xf>
    <xf numFmtId="0" fontId="65" fillId="0" borderId="19" xfId="0" applyFont="1" applyBorder="1" applyAlignment="1">
      <alignment horizontal="right" wrapText="1"/>
    </xf>
    <xf numFmtId="0" fontId="66" fillId="44" borderId="1" xfId="0" applyFont="1" applyFill="1" applyBorder="1" applyAlignment="1">
      <alignment horizontal="right" wrapText="1"/>
    </xf>
    <xf numFmtId="0" fontId="60" fillId="0" borderId="5" xfId="0" applyFont="1" applyBorder="1" applyAlignment="1">
      <alignment horizontal="right" wrapText="1"/>
    </xf>
    <xf numFmtId="0" fontId="54" fillId="0" borderId="5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4" fillId="38" borderId="0" xfId="0" applyFont="1" applyFill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4" fillId="38" borderId="15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right" vertical="top"/>
    </xf>
    <xf numFmtId="0" fontId="25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65" fillId="0" borderId="4" xfId="0" applyFont="1" applyBorder="1" applyAlignment="1">
      <alignment horizontal="center" vertical="center" wrapText="1"/>
    </xf>
    <xf numFmtId="0" fontId="65" fillId="0" borderId="3" xfId="0" applyFont="1" applyBorder="1" applyAlignment="1">
      <alignment horizontal="center" vertical="center" wrapText="1"/>
    </xf>
    <xf numFmtId="0" fontId="65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top" wrapText="1"/>
    </xf>
    <xf numFmtId="0" fontId="28" fillId="0" borderId="1" xfId="0" applyFont="1" applyBorder="1" applyAlignment="1">
      <alignment horizontal="right" vertical="top" wrapText="1"/>
    </xf>
    <xf numFmtId="0" fontId="11" fillId="3" borderId="1" xfId="0" applyFont="1" applyFill="1" applyBorder="1" applyAlignment="1">
      <alignment horizontal="right" vertical="top" wrapText="1"/>
    </xf>
    <xf numFmtId="0" fontId="2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11" fillId="6" borderId="1" xfId="0" applyFont="1" applyFill="1" applyBorder="1" applyAlignment="1">
      <alignment horizontal="righ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/>
    </xf>
    <xf numFmtId="0" fontId="19" fillId="0" borderId="4" xfId="0" applyFont="1" applyBorder="1" applyAlignment="1">
      <alignment horizontal="right" vertical="top" wrapText="1"/>
    </xf>
    <xf numFmtId="0" fontId="19" fillId="0" borderId="3" xfId="0" applyFont="1" applyBorder="1" applyAlignment="1">
      <alignment horizontal="right" vertical="top" wrapText="1"/>
    </xf>
    <xf numFmtId="0" fontId="19" fillId="0" borderId="5" xfId="0" applyFont="1" applyBorder="1" applyAlignment="1">
      <alignment horizontal="right" vertical="top" wrapText="1"/>
    </xf>
    <xf numFmtId="0" fontId="11" fillId="3" borderId="1" xfId="0" applyFont="1" applyFill="1" applyBorder="1" applyAlignment="1">
      <alignment horizontal="right" vertical="top"/>
    </xf>
    <xf numFmtId="0" fontId="11" fillId="6" borderId="1" xfId="0" applyFont="1" applyFill="1" applyBorder="1" applyAlignment="1">
      <alignment horizontal="right" vertical="top"/>
    </xf>
    <xf numFmtId="0" fontId="26" fillId="0" borderId="4" xfId="0" applyFont="1" applyBorder="1" applyAlignment="1">
      <alignment horizontal="left" vertical="top"/>
    </xf>
    <xf numFmtId="0" fontId="26" fillId="0" borderId="3" xfId="0" applyFont="1" applyBorder="1" applyAlignment="1">
      <alignment horizontal="left" vertical="top"/>
    </xf>
    <xf numFmtId="0" fontId="26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54" fillId="0" borderId="0" xfId="0" applyFont="1" applyAlignment="1">
      <alignment wrapText="1"/>
    </xf>
    <xf numFmtId="2" fontId="28" fillId="0" borderId="1" xfId="0" applyNumberFormat="1" applyFont="1" applyBorder="1" applyAlignment="1">
      <alignment vertical="center" wrapText="1"/>
    </xf>
    <xf numFmtId="0" fontId="10" fillId="40" borderId="1" xfId="0" applyFont="1" applyFill="1" applyBorder="1" applyAlignment="1">
      <alignment horizontal="center" vertical="center"/>
    </xf>
    <xf numFmtId="0" fontId="58" fillId="0" borderId="0" xfId="0" applyFont="1" applyBorder="1" applyAlignment="1">
      <alignment wrapText="1"/>
    </xf>
    <xf numFmtId="0" fontId="55" fillId="0" borderId="0" xfId="0" applyFont="1" applyBorder="1" applyAlignment="1">
      <alignment wrapText="1"/>
    </xf>
  </cellXfs>
  <cellStyles count="48">
    <cellStyle name="20 % - Accent1" xfId="22" builtinId="30" customBuiltin="1"/>
    <cellStyle name="20 % - Accent2" xfId="26" builtinId="34" customBuiltin="1"/>
    <cellStyle name="20 % - Accent3" xfId="30" builtinId="38" customBuiltin="1"/>
    <cellStyle name="20 % - Accent4" xfId="34" builtinId="42" customBuiltin="1"/>
    <cellStyle name="20 % - Accent5" xfId="38" builtinId="46" customBuiltin="1"/>
    <cellStyle name="20 % - Accent6" xfId="42" builtinId="50" customBuiltin="1"/>
    <cellStyle name="40 % - Accent1" xfId="23" builtinId="31" customBuiltin="1"/>
    <cellStyle name="40 % - Accent2" xfId="27" builtinId="35" customBuiltin="1"/>
    <cellStyle name="40 % - Accent3" xfId="31" builtinId="39" customBuiltin="1"/>
    <cellStyle name="40 % - Accent4" xfId="35" builtinId="43" customBuiltin="1"/>
    <cellStyle name="40 % - Accent5" xfId="39" builtinId="47" customBuiltin="1"/>
    <cellStyle name="40 % - Accent6" xfId="43" builtinId="51" customBuiltin="1"/>
    <cellStyle name="60 % - Accent1" xfId="24" builtinId="32" customBuiltin="1"/>
    <cellStyle name="60 % - Accent2" xfId="28" builtinId="36" customBuiltin="1"/>
    <cellStyle name="60 % - Accent3" xfId="32" builtinId="40" customBuiltin="1"/>
    <cellStyle name="60 % - Accent4" xfId="36" builtinId="44" customBuiltin="1"/>
    <cellStyle name="60 % - Accent5" xfId="40" builtinId="48" customBuiltin="1"/>
    <cellStyle name="60 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AG" xfId="1" xr:uid="{00000000-0005-0000-0000-000000000000}"/>
    <cellStyle name="Avertissement" xfId="18" builtinId="11" customBuiltin="1"/>
    <cellStyle name="Calcul" xfId="15" builtinId="22" customBuiltin="1"/>
    <cellStyle name="Cellule liée" xfId="16" builtinId="24" customBuiltin="1"/>
    <cellStyle name="Entrée" xfId="13" builtinId="20" customBuiltin="1"/>
    <cellStyle name="Hyperlink" xfId="47" xr:uid="{00000000-000B-0000-0000-000008000000}"/>
    <cellStyle name="Insatisfaisant" xfId="11" builtinId="27" customBuiltin="1"/>
    <cellStyle name="Neutre" xfId="12" builtinId="28" customBuiltin="1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45" xr:uid="{02FCA062-B3A8-4950-9480-773A3E80ACC8}"/>
    <cellStyle name="Note 2" xfId="46" xr:uid="{99CD3512-4831-4CE5-83C2-E49ADE16AC2E}"/>
    <cellStyle name="Satisfaisant" xfId="10" builtinId="26" customBuiltin="1"/>
    <cellStyle name="Sortie" xfId="14" builtinId="21" customBuiltin="1"/>
    <cellStyle name="Texte explicatif" xfId="19" builtinId="53" customBuiltin="1"/>
    <cellStyle name="Titre" xfId="5" builtinId="15" customBuiltin="1"/>
    <cellStyle name="Titre 1" xfId="6" builtinId="16" customBuiltin="1"/>
    <cellStyle name="Titre 2" xfId="7" builtinId="17" customBuiltin="1"/>
    <cellStyle name="Titre 3" xfId="8" builtinId="18" customBuiltin="1"/>
    <cellStyle name="Titre 4" xfId="9" builtinId="19" customBuiltin="1"/>
    <cellStyle name="Total" xfId="20" builtinId="25" customBuiltin="1"/>
    <cellStyle name="Vérification" xfId="17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00"/>
      <color rgb="FF0000FF"/>
      <color rgb="FFFF00FF"/>
      <color rgb="FF000099"/>
      <color rgb="FFFFCCFF"/>
      <color rgb="FFFF99FF"/>
      <color rgb="FF00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0</xdr:rowOff>
    </xdr:to>
    <xdr:sp macro="" textlink="">
      <xdr:nvSpPr>
        <xdr:cNvPr id="5121" name="Text Box 1">
          <a:extLst>
            <a:ext uri="{FF2B5EF4-FFF2-40B4-BE49-F238E27FC236}">
              <a16:creationId xmlns:a16="http://schemas.microsoft.com/office/drawing/2014/main" id="{B68B589C-5F32-4A30-B166-87A7916E595A}"/>
            </a:ext>
          </a:extLst>
        </xdr:cNvPr>
        <xdr:cNvSpPr txBox="1">
          <a:spLocks noChangeArrowheads="1"/>
        </xdr:cNvSpPr>
      </xdr:nvSpPr>
      <xdr:spPr bwMode="auto">
        <a:xfrm>
          <a:off x="4638675" y="0"/>
          <a:ext cx="209550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171450</xdr:colOff>
      <xdr:row>0</xdr:row>
      <xdr:rowOff>0</xdr:rowOff>
    </xdr:to>
    <xdr:sp macro="" textlink="">
      <xdr:nvSpPr>
        <xdr:cNvPr id="5122" name="Text Box 2">
          <a:extLst>
            <a:ext uri="{FF2B5EF4-FFF2-40B4-BE49-F238E27FC236}">
              <a16:creationId xmlns:a16="http://schemas.microsoft.com/office/drawing/2014/main" id="{12AE7ACB-E61F-4A13-8900-172F8FAC9421}"/>
            </a:ext>
          </a:extLst>
        </xdr:cNvPr>
        <xdr:cNvSpPr txBox="1">
          <a:spLocks noChangeArrowheads="1"/>
        </xdr:cNvSpPr>
      </xdr:nvSpPr>
      <xdr:spPr bwMode="auto">
        <a:xfrm>
          <a:off x="4638675" y="0"/>
          <a:ext cx="171450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BB30070F-0E18-455B-85F6-39F964DD90FB}"/>
            </a:ext>
          </a:extLst>
        </xdr:cNvPr>
        <xdr:cNvSpPr txBox="1">
          <a:spLocks noChangeArrowheads="1"/>
        </xdr:cNvSpPr>
      </xdr:nvSpPr>
      <xdr:spPr bwMode="auto">
        <a:xfrm>
          <a:off x="3000375" y="0"/>
          <a:ext cx="0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262377D5-FBD6-42C2-9C1F-F7F771BF2B33}"/>
            </a:ext>
          </a:extLst>
        </xdr:cNvPr>
        <xdr:cNvSpPr txBox="1">
          <a:spLocks noChangeArrowheads="1"/>
        </xdr:cNvSpPr>
      </xdr:nvSpPr>
      <xdr:spPr bwMode="auto">
        <a:xfrm>
          <a:off x="3000375" y="0"/>
          <a:ext cx="0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6835BCBB-3CC3-4480-B4DA-7B215A11C8BB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0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A3EB5CCC-3096-4DEB-A1B3-410AF9830B98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0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B3F99EE6-E3B5-41B3-970F-AA74A32CF3B8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0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0BE4B43F-9826-4356-A2A5-6CB7CA72100D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0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2375F237-FE49-4542-B76F-F2BC4526F588}"/>
            </a:ext>
          </a:extLst>
        </xdr:cNvPr>
        <xdr:cNvSpPr txBox="1">
          <a:spLocks noChangeArrowheads="1"/>
        </xdr:cNvSpPr>
      </xdr:nvSpPr>
      <xdr:spPr bwMode="auto">
        <a:xfrm>
          <a:off x="1600200" y="0"/>
          <a:ext cx="2381250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D76108BF-2A40-4E28-97C9-E3803DA13CBA}"/>
            </a:ext>
          </a:extLst>
        </xdr:cNvPr>
        <xdr:cNvSpPr txBox="1">
          <a:spLocks noChangeArrowheads="1"/>
        </xdr:cNvSpPr>
      </xdr:nvSpPr>
      <xdr:spPr bwMode="auto">
        <a:xfrm>
          <a:off x="1600200" y="0"/>
          <a:ext cx="2381250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D45C6E5C-71CB-4905-92BA-68E7C1241D44}"/>
            </a:ext>
          </a:extLst>
        </xdr:cNvPr>
        <xdr:cNvSpPr txBox="1">
          <a:spLocks noChangeArrowheads="1"/>
        </xdr:cNvSpPr>
      </xdr:nvSpPr>
      <xdr:spPr bwMode="auto">
        <a:xfrm>
          <a:off x="1400175" y="0"/>
          <a:ext cx="1647825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B4EC8E18-BFBB-46C5-9C68-1981F76C5B70}"/>
            </a:ext>
          </a:extLst>
        </xdr:cNvPr>
        <xdr:cNvSpPr txBox="1">
          <a:spLocks noChangeArrowheads="1"/>
        </xdr:cNvSpPr>
      </xdr:nvSpPr>
      <xdr:spPr bwMode="auto">
        <a:xfrm>
          <a:off x="1400175" y="0"/>
          <a:ext cx="1647825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4</xdr:col>
      <xdr:colOff>285750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81C5A20-83F9-4B21-94CD-70DC7BF9ED80}"/>
            </a:ext>
          </a:extLst>
        </xdr:cNvPr>
        <xdr:cNvSpPr txBox="1">
          <a:spLocks noChangeArrowheads="1"/>
        </xdr:cNvSpPr>
      </xdr:nvSpPr>
      <xdr:spPr bwMode="auto">
        <a:xfrm>
          <a:off x="1676400" y="0"/>
          <a:ext cx="1952625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171450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60BE580-FB5D-40AA-9B0C-9AC5C82C8D1D}"/>
            </a:ext>
          </a:extLst>
        </xdr:cNvPr>
        <xdr:cNvSpPr txBox="1">
          <a:spLocks noChangeArrowheads="1"/>
        </xdr:cNvSpPr>
      </xdr:nvSpPr>
      <xdr:spPr bwMode="auto">
        <a:xfrm>
          <a:off x="1676400" y="0"/>
          <a:ext cx="1876425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D22" sqref="D22"/>
    </sheetView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pageSetUpPr fitToPage="1"/>
  </sheetPr>
  <dimension ref="A1:K65"/>
  <sheetViews>
    <sheetView zoomScale="90" zoomScaleNormal="90" workbookViewId="0">
      <selection activeCell="F23" sqref="F23"/>
    </sheetView>
  </sheetViews>
  <sheetFormatPr baseColWidth="10" defaultColWidth="70.7109375" defaultRowHeight="12.75" x14ac:dyDescent="0.2"/>
  <cols>
    <col min="1" max="1" width="13.28515625" style="3" bestFit="1" customWidth="1"/>
    <col min="2" max="2" width="7.5703125" style="3" bestFit="1" customWidth="1"/>
    <col min="3" max="3" width="8.28515625" style="3" bestFit="1" customWidth="1"/>
    <col min="4" max="4" width="21.85546875" style="9" bestFit="1" customWidth="1"/>
    <col min="5" max="5" width="3" style="6" bestFit="1" customWidth="1"/>
    <col min="6" max="6" width="30.28515625" style="6" customWidth="1"/>
    <col min="7" max="7" width="12.42578125" style="6" bestFit="1" customWidth="1"/>
    <col min="8" max="8" width="33.5703125" style="5" customWidth="1"/>
    <col min="9" max="9" width="14.7109375" style="10" customWidth="1"/>
    <col min="10" max="10" width="4" style="2" bestFit="1" customWidth="1"/>
    <col min="11" max="16384" width="70.7109375" style="2"/>
  </cols>
  <sheetData>
    <row r="1" spans="1:11" s="1" customFormat="1" ht="26.25" x14ac:dyDescent="0.2">
      <c r="A1" s="138" t="s">
        <v>551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1" x14ac:dyDescent="0.2">
      <c r="F2" s="31">
        <v>45337</v>
      </c>
    </row>
    <row r="3" spans="1:11" x14ac:dyDescent="0.2">
      <c r="A3" s="146" t="s">
        <v>682</v>
      </c>
      <c r="B3" s="133" t="s">
        <v>553</v>
      </c>
      <c r="C3" s="152" t="s">
        <v>558</v>
      </c>
      <c r="D3" s="149" t="s">
        <v>685</v>
      </c>
      <c r="E3" s="148" t="str">
        <f>"1"</f>
        <v>1</v>
      </c>
      <c r="F3" s="72" t="s">
        <v>370</v>
      </c>
      <c r="G3" s="72" t="s">
        <v>72</v>
      </c>
      <c r="H3" s="75" t="s">
        <v>17</v>
      </c>
      <c r="I3" s="74" t="s">
        <v>371</v>
      </c>
      <c r="J3" s="101">
        <v>166</v>
      </c>
      <c r="K3" s="99"/>
    </row>
    <row r="4" spans="1:11" ht="12.75" customHeight="1" x14ac:dyDescent="0.2">
      <c r="A4" s="146"/>
      <c r="B4" s="133"/>
      <c r="C4" s="152"/>
      <c r="D4" s="150"/>
      <c r="E4" s="148"/>
      <c r="F4" s="75" t="s">
        <v>114</v>
      </c>
      <c r="G4" s="75" t="s">
        <v>115</v>
      </c>
      <c r="H4" s="75" t="s">
        <v>17</v>
      </c>
      <c r="I4" s="74" t="s">
        <v>116</v>
      </c>
      <c r="J4" s="102"/>
      <c r="K4" s="99"/>
    </row>
    <row r="5" spans="1:11" x14ac:dyDescent="0.2">
      <c r="A5" s="146"/>
      <c r="B5" s="133"/>
      <c r="C5" s="152"/>
      <c r="D5" s="151"/>
      <c r="E5" s="148"/>
      <c r="F5" s="75" t="s">
        <v>15</v>
      </c>
      <c r="G5" s="75" t="s">
        <v>16</v>
      </c>
      <c r="H5" s="75" t="s">
        <v>17</v>
      </c>
      <c r="I5" s="74" t="s">
        <v>18</v>
      </c>
      <c r="J5" s="103"/>
      <c r="K5" s="99"/>
    </row>
    <row r="6" spans="1:11" x14ac:dyDescent="0.2">
      <c r="A6" s="146" t="s">
        <v>682</v>
      </c>
      <c r="B6" s="133" t="s">
        <v>553</v>
      </c>
      <c r="C6" s="152" t="s">
        <v>558</v>
      </c>
      <c r="D6" s="149" t="s">
        <v>685</v>
      </c>
      <c r="E6" s="144" t="str">
        <f>"2"</f>
        <v>2</v>
      </c>
      <c r="F6" s="72" t="s">
        <v>65</v>
      </c>
      <c r="G6" s="72" t="s">
        <v>66</v>
      </c>
      <c r="H6" s="75" t="s">
        <v>25</v>
      </c>
      <c r="I6" s="74" t="s">
        <v>67</v>
      </c>
      <c r="J6" s="101">
        <v>156</v>
      </c>
      <c r="K6" s="99"/>
    </row>
    <row r="7" spans="1:11" x14ac:dyDescent="0.2">
      <c r="A7" s="146"/>
      <c r="B7" s="133"/>
      <c r="C7" s="152"/>
      <c r="D7" s="150"/>
      <c r="E7" s="144"/>
      <c r="F7" s="72" t="s">
        <v>111</v>
      </c>
      <c r="G7" s="72" t="s">
        <v>112</v>
      </c>
      <c r="H7" s="75" t="s">
        <v>25</v>
      </c>
      <c r="I7" s="74" t="s">
        <v>113</v>
      </c>
      <c r="J7" s="102"/>
      <c r="K7" s="99"/>
    </row>
    <row r="8" spans="1:11" x14ac:dyDescent="0.2">
      <c r="A8" s="146"/>
      <c r="B8" s="133"/>
      <c r="C8" s="152"/>
      <c r="D8" s="151"/>
      <c r="E8" s="144"/>
      <c r="F8" s="75" t="s">
        <v>43</v>
      </c>
      <c r="G8" s="75" t="s">
        <v>44</v>
      </c>
      <c r="H8" s="75" t="s">
        <v>25</v>
      </c>
      <c r="I8" s="74" t="s">
        <v>45</v>
      </c>
      <c r="J8" s="103"/>
      <c r="K8" s="99"/>
    </row>
    <row r="9" spans="1:11" x14ac:dyDescent="0.2">
      <c r="A9" s="146" t="s">
        <v>682</v>
      </c>
      <c r="B9" s="133" t="s">
        <v>553</v>
      </c>
      <c r="C9" s="152" t="s">
        <v>558</v>
      </c>
      <c r="D9" s="149" t="s">
        <v>685</v>
      </c>
      <c r="E9" s="144">
        <v>3</v>
      </c>
      <c r="F9" s="72" t="s">
        <v>134</v>
      </c>
      <c r="G9" s="72" t="s">
        <v>135</v>
      </c>
      <c r="H9" s="75" t="s">
        <v>9</v>
      </c>
      <c r="I9" s="74" t="s">
        <v>136</v>
      </c>
      <c r="J9" s="101">
        <v>152</v>
      </c>
      <c r="K9" s="99"/>
    </row>
    <row r="10" spans="1:11" x14ac:dyDescent="0.2">
      <c r="A10" s="146"/>
      <c r="B10" s="133"/>
      <c r="C10" s="152"/>
      <c r="D10" s="150"/>
      <c r="E10" s="144"/>
      <c r="F10" s="72" t="s">
        <v>194</v>
      </c>
      <c r="G10" s="72" t="s">
        <v>195</v>
      </c>
      <c r="H10" s="75" t="s">
        <v>9</v>
      </c>
      <c r="I10" s="74" t="s">
        <v>196</v>
      </c>
      <c r="J10" s="102"/>
      <c r="K10" s="99"/>
    </row>
    <row r="11" spans="1:11" x14ac:dyDescent="0.2">
      <c r="A11" s="146"/>
      <c r="B11" s="133"/>
      <c r="C11" s="152"/>
      <c r="D11" s="151"/>
      <c r="E11" s="144"/>
      <c r="F11" s="75" t="s">
        <v>7</v>
      </c>
      <c r="G11" s="75" t="s">
        <v>8</v>
      </c>
      <c r="H11" s="75" t="s">
        <v>9</v>
      </c>
      <c r="I11" s="74" t="s">
        <v>10</v>
      </c>
      <c r="J11" s="103"/>
      <c r="K11" s="99"/>
    </row>
    <row r="12" spans="1:11" x14ac:dyDescent="0.2">
      <c r="A12" s="146" t="s">
        <v>682</v>
      </c>
      <c r="B12" s="133" t="s">
        <v>553</v>
      </c>
      <c r="C12" s="152" t="s">
        <v>558</v>
      </c>
      <c r="D12" s="149" t="s">
        <v>685</v>
      </c>
      <c r="E12" s="144">
        <v>4</v>
      </c>
      <c r="F12" s="72" t="s">
        <v>152</v>
      </c>
      <c r="G12" s="72" t="s">
        <v>153</v>
      </c>
      <c r="H12" s="75" t="s">
        <v>154</v>
      </c>
      <c r="I12" s="74" t="s">
        <v>155</v>
      </c>
      <c r="J12" s="101">
        <v>145</v>
      </c>
      <c r="K12" s="99"/>
    </row>
    <row r="13" spans="1:11" x14ac:dyDescent="0.2">
      <c r="A13" s="146"/>
      <c r="B13" s="133"/>
      <c r="C13" s="152"/>
      <c r="D13" s="150"/>
      <c r="E13" s="144"/>
      <c r="F13" s="75" t="s">
        <v>307</v>
      </c>
      <c r="G13" s="75" t="s">
        <v>308</v>
      </c>
      <c r="H13" s="75" t="s">
        <v>154</v>
      </c>
      <c r="I13" s="74" t="s">
        <v>309</v>
      </c>
      <c r="J13" s="102"/>
      <c r="K13" s="99"/>
    </row>
    <row r="14" spans="1:11" x14ac:dyDescent="0.2">
      <c r="A14" s="146"/>
      <c r="B14" s="133"/>
      <c r="C14" s="152"/>
      <c r="D14" s="151"/>
      <c r="E14" s="144"/>
      <c r="F14" s="75" t="s">
        <v>476</v>
      </c>
      <c r="G14" s="75" t="s">
        <v>477</v>
      </c>
      <c r="H14" s="75" t="s">
        <v>154</v>
      </c>
      <c r="I14" s="74" t="s">
        <v>478</v>
      </c>
      <c r="J14" s="103"/>
      <c r="K14" s="99"/>
    </row>
    <row r="15" spans="1:11" x14ac:dyDescent="0.2">
      <c r="A15" s="146" t="s">
        <v>682</v>
      </c>
      <c r="B15" s="133" t="s">
        <v>553</v>
      </c>
      <c r="C15" s="152" t="s">
        <v>558</v>
      </c>
      <c r="D15" s="149" t="s">
        <v>685</v>
      </c>
      <c r="E15" s="144">
        <v>5</v>
      </c>
      <c r="F15" s="72" t="s">
        <v>11</v>
      </c>
      <c r="G15" s="72" t="s">
        <v>12</v>
      </c>
      <c r="H15" s="75" t="s">
        <v>13</v>
      </c>
      <c r="I15" s="74" t="s">
        <v>14</v>
      </c>
      <c r="J15" s="101">
        <v>142</v>
      </c>
      <c r="K15" s="99"/>
    </row>
    <row r="16" spans="1:11" x14ac:dyDescent="0.2">
      <c r="A16" s="146"/>
      <c r="B16" s="133"/>
      <c r="C16" s="152"/>
      <c r="D16" s="150"/>
      <c r="E16" s="144"/>
      <c r="F16" s="75" t="s">
        <v>324</v>
      </c>
      <c r="G16" s="75" t="s">
        <v>325</v>
      </c>
      <c r="H16" s="75" t="s">
        <v>13</v>
      </c>
      <c r="I16" s="74" t="s">
        <v>326</v>
      </c>
      <c r="J16" s="102"/>
      <c r="K16" s="99"/>
    </row>
    <row r="17" spans="1:11" x14ac:dyDescent="0.2">
      <c r="A17" s="146"/>
      <c r="B17" s="133"/>
      <c r="C17" s="152"/>
      <c r="D17" s="151"/>
      <c r="E17" s="144"/>
      <c r="F17" s="75" t="s">
        <v>102</v>
      </c>
      <c r="G17" s="75" t="s">
        <v>103</v>
      </c>
      <c r="H17" s="75" t="s">
        <v>13</v>
      </c>
      <c r="I17" s="74" t="s">
        <v>104</v>
      </c>
      <c r="J17" s="103"/>
      <c r="K17" s="99"/>
    </row>
    <row r="18" spans="1:11" x14ac:dyDescent="0.2">
      <c r="A18" s="146" t="s">
        <v>682</v>
      </c>
      <c r="B18" s="133" t="s">
        <v>553</v>
      </c>
      <c r="C18" s="152" t="s">
        <v>558</v>
      </c>
      <c r="D18" s="149" t="s">
        <v>685</v>
      </c>
      <c r="E18" s="144">
        <v>6</v>
      </c>
      <c r="F18" s="72" t="s">
        <v>406</v>
      </c>
      <c r="G18" s="72" t="s">
        <v>407</v>
      </c>
      <c r="H18" s="75" t="s">
        <v>25</v>
      </c>
      <c r="I18" s="74" t="s">
        <v>408</v>
      </c>
      <c r="J18" s="101">
        <v>141</v>
      </c>
      <c r="K18" s="99"/>
    </row>
    <row r="19" spans="1:11" x14ac:dyDescent="0.2">
      <c r="A19" s="146"/>
      <c r="B19" s="133"/>
      <c r="C19" s="152"/>
      <c r="D19" s="150"/>
      <c r="E19" s="144"/>
      <c r="F19" s="75" t="s">
        <v>179</v>
      </c>
      <c r="G19" s="75" t="s">
        <v>180</v>
      </c>
      <c r="H19" s="75" t="s">
        <v>25</v>
      </c>
      <c r="I19" s="74" t="s">
        <v>181</v>
      </c>
      <c r="J19" s="102"/>
      <c r="K19" s="99"/>
    </row>
    <row r="20" spans="1:11" x14ac:dyDescent="0.2">
      <c r="A20" s="146"/>
      <c r="B20" s="133"/>
      <c r="C20" s="152"/>
      <c r="D20" s="151"/>
      <c r="E20" s="144"/>
      <c r="F20" s="75" t="s">
        <v>80</v>
      </c>
      <c r="G20" s="75" t="s">
        <v>81</v>
      </c>
      <c r="H20" s="75" t="s">
        <v>25</v>
      </c>
      <c r="I20" s="74" t="s">
        <v>82</v>
      </c>
      <c r="J20" s="103"/>
      <c r="K20" s="99"/>
    </row>
    <row r="21" spans="1:11" x14ac:dyDescent="0.2">
      <c r="A21" s="146" t="s">
        <v>682</v>
      </c>
      <c r="B21" s="133" t="s">
        <v>553</v>
      </c>
      <c r="C21" s="152" t="s">
        <v>558</v>
      </c>
      <c r="D21" s="149" t="s">
        <v>685</v>
      </c>
      <c r="E21" s="144">
        <v>7</v>
      </c>
      <c r="F21" s="72" t="s">
        <v>217</v>
      </c>
      <c r="G21" s="72" t="s">
        <v>66</v>
      </c>
      <c r="H21" s="75" t="s">
        <v>25</v>
      </c>
      <c r="I21" s="74" t="s">
        <v>218</v>
      </c>
      <c r="J21" s="101">
        <v>134</v>
      </c>
      <c r="K21" s="99"/>
    </row>
    <row r="22" spans="1:11" x14ac:dyDescent="0.2">
      <c r="A22" s="146"/>
      <c r="B22" s="133"/>
      <c r="C22" s="152"/>
      <c r="D22" s="150"/>
      <c r="E22" s="144"/>
      <c r="F22" s="75" t="s">
        <v>96</v>
      </c>
      <c r="G22" s="75" t="s">
        <v>97</v>
      </c>
      <c r="H22" s="75" t="s">
        <v>25</v>
      </c>
      <c r="I22" s="74" t="s">
        <v>98</v>
      </c>
      <c r="J22" s="102"/>
      <c r="K22" s="99"/>
    </row>
    <row r="23" spans="1:11" x14ac:dyDescent="0.2">
      <c r="A23" s="146"/>
      <c r="B23" s="133"/>
      <c r="C23" s="152"/>
      <c r="D23" s="151"/>
      <c r="E23" s="144"/>
      <c r="F23" s="75" t="s">
        <v>86</v>
      </c>
      <c r="G23" s="75" t="s">
        <v>87</v>
      </c>
      <c r="H23" s="75" t="s">
        <v>25</v>
      </c>
      <c r="I23" s="74" t="s">
        <v>88</v>
      </c>
      <c r="J23" s="103"/>
      <c r="K23" s="99"/>
    </row>
    <row r="24" spans="1:11" x14ac:dyDescent="0.2">
      <c r="A24" s="146" t="s">
        <v>682</v>
      </c>
      <c r="B24" s="133" t="s">
        <v>553</v>
      </c>
      <c r="C24" s="152" t="s">
        <v>558</v>
      </c>
      <c r="D24" s="149" t="s">
        <v>685</v>
      </c>
      <c r="E24" s="144">
        <v>8</v>
      </c>
      <c r="F24" s="72" t="s">
        <v>354</v>
      </c>
      <c r="G24" s="72" t="s">
        <v>355</v>
      </c>
      <c r="H24" s="75" t="s">
        <v>25</v>
      </c>
      <c r="I24" s="74" t="s">
        <v>55</v>
      </c>
      <c r="J24" s="101">
        <v>117</v>
      </c>
      <c r="K24" s="99"/>
    </row>
    <row r="25" spans="1:11" x14ac:dyDescent="0.2">
      <c r="A25" s="146"/>
      <c r="B25" s="133"/>
      <c r="C25" s="152"/>
      <c r="D25" s="150"/>
      <c r="E25" s="144"/>
      <c r="F25" s="75" t="s">
        <v>318</v>
      </c>
      <c r="G25" s="75" t="s">
        <v>319</v>
      </c>
      <c r="H25" s="75" t="s">
        <v>25</v>
      </c>
      <c r="I25" s="74" t="s">
        <v>320</v>
      </c>
      <c r="J25" s="102"/>
      <c r="K25" s="99"/>
    </row>
    <row r="26" spans="1:11" x14ac:dyDescent="0.2">
      <c r="A26" s="146"/>
      <c r="B26" s="133"/>
      <c r="C26" s="152"/>
      <c r="D26" s="151"/>
      <c r="E26" s="144"/>
      <c r="F26" s="75" t="s">
        <v>74</v>
      </c>
      <c r="G26" s="75" t="s">
        <v>75</v>
      </c>
      <c r="H26" s="75" t="s">
        <v>25</v>
      </c>
      <c r="I26" s="74" t="s">
        <v>76</v>
      </c>
      <c r="J26" s="103"/>
      <c r="K26" s="99"/>
    </row>
    <row r="27" spans="1:11" x14ac:dyDescent="0.2">
      <c r="A27" s="146" t="s">
        <v>682</v>
      </c>
      <c r="B27" s="133" t="s">
        <v>553</v>
      </c>
      <c r="C27" s="152" t="s">
        <v>558</v>
      </c>
      <c r="D27" s="149" t="s">
        <v>685</v>
      </c>
      <c r="E27" s="144">
        <v>9</v>
      </c>
      <c r="F27" s="72" t="s">
        <v>182</v>
      </c>
      <c r="G27" s="72" t="s">
        <v>183</v>
      </c>
      <c r="H27" s="75" t="s">
        <v>25</v>
      </c>
      <c r="I27" s="74" t="s">
        <v>184</v>
      </c>
      <c r="J27" s="101">
        <v>109</v>
      </c>
      <c r="K27" s="99"/>
    </row>
    <row r="28" spans="1:11" x14ac:dyDescent="0.2">
      <c r="A28" s="146"/>
      <c r="B28" s="133"/>
      <c r="C28" s="152"/>
      <c r="D28" s="150"/>
      <c r="E28" s="144"/>
      <c r="F28" s="75" t="s">
        <v>56</v>
      </c>
      <c r="G28" s="75" t="s">
        <v>57</v>
      </c>
      <c r="H28" s="75" t="s">
        <v>25</v>
      </c>
      <c r="I28" s="74" t="s">
        <v>58</v>
      </c>
      <c r="J28" s="102"/>
      <c r="K28" s="99"/>
    </row>
    <row r="29" spans="1:11" x14ac:dyDescent="0.2">
      <c r="A29" s="146"/>
      <c r="B29" s="133"/>
      <c r="C29" s="152"/>
      <c r="D29" s="151"/>
      <c r="E29" s="144"/>
      <c r="F29" s="75" t="s">
        <v>68</v>
      </c>
      <c r="G29" s="75" t="s">
        <v>69</v>
      </c>
      <c r="H29" s="75" t="s">
        <v>25</v>
      </c>
      <c r="I29" s="74" t="s">
        <v>70</v>
      </c>
      <c r="J29" s="103"/>
      <c r="K29" s="99"/>
    </row>
    <row r="30" spans="1:11" x14ac:dyDescent="0.2">
      <c r="A30" s="146" t="s">
        <v>682</v>
      </c>
      <c r="B30" s="133" t="s">
        <v>553</v>
      </c>
      <c r="C30" s="152" t="s">
        <v>558</v>
      </c>
      <c r="D30" s="149" t="s">
        <v>685</v>
      </c>
      <c r="E30" s="144">
        <v>10</v>
      </c>
      <c r="F30" s="72" t="s">
        <v>342</v>
      </c>
      <c r="G30" s="72" t="s">
        <v>343</v>
      </c>
      <c r="H30" s="75" t="s">
        <v>54</v>
      </c>
      <c r="I30" s="74" t="s">
        <v>344</v>
      </c>
      <c r="J30" s="101">
        <v>97</v>
      </c>
      <c r="K30" s="99"/>
    </row>
    <row r="31" spans="1:11" x14ac:dyDescent="0.2">
      <c r="A31" s="146"/>
      <c r="B31" s="133"/>
      <c r="C31" s="152"/>
      <c r="D31" s="150"/>
      <c r="E31" s="144"/>
      <c r="F31" s="75" t="s">
        <v>411</v>
      </c>
      <c r="G31" s="75" t="s">
        <v>412</v>
      </c>
      <c r="H31" s="75" t="s">
        <v>54</v>
      </c>
      <c r="I31" s="74" t="s">
        <v>413</v>
      </c>
      <c r="J31" s="102"/>
      <c r="K31" s="99"/>
    </row>
    <row r="32" spans="1:11" x14ac:dyDescent="0.2">
      <c r="A32" s="146"/>
      <c r="B32" s="133"/>
      <c r="C32" s="152"/>
      <c r="D32" s="151"/>
      <c r="E32" s="144"/>
      <c r="F32" s="75" t="s">
        <v>296</v>
      </c>
      <c r="G32" s="75" t="s">
        <v>297</v>
      </c>
      <c r="H32" s="75" t="s">
        <v>17</v>
      </c>
      <c r="I32" s="74" t="s">
        <v>298</v>
      </c>
      <c r="J32" s="103"/>
      <c r="K32" s="99"/>
    </row>
    <row r="33" spans="1:11" x14ac:dyDescent="0.2">
      <c r="A33" s="146" t="s">
        <v>682</v>
      </c>
      <c r="B33" s="133" t="s">
        <v>553</v>
      </c>
      <c r="C33" s="152" t="s">
        <v>558</v>
      </c>
      <c r="D33" s="149" t="s">
        <v>685</v>
      </c>
      <c r="E33" s="144">
        <v>11</v>
      </c>
      <c r="F33" s="72" t="s">
        <v>46</v>
      </c>
      <c r="G33" s="72" t="s">
        <v>47</v>
      </c>
      <c r="H33" s="75" t="s">
        <v>25</v>
      </c>
      <c r="I33" s="74" t="s">
        <v>48</v>
      </c>
      <c r="J33" s="101">
        <v>77</v>
      </c>
      <c r="K33" s="99"/>
    </row>
    <row r="34" spans="1:11" x14ac:dyDescent="0.2">
      <c r="A34" s="146"/>
      <c r="B34" s="133"/>
      <c r="C34" s="152"/>
      <c r="D34" s="150"/>
      <c r="E34" s="144"/>
      <c r="F34" s="75" t="s">
        <v>23</v>
      </c>
      <c r="G34" s="75" t="s">
        <v>24</v>
      </c>
      <c r="H34" s="75" t="s">
        <v>25</v>
      </c>
      <c r="I34" s="74" t="s">
        <v>26</v>
      </c>
      <c r="J34" s="102"/>
      <c r="K34" s="99"/>
    </row>
    <row r="35" spans="1:11" x14ac:dyDescent="0.2">
      <c r="A35" s="146"/>
      <c r="B35" s="133"/>
      <c r="C35" s="152"/>
      <c r="D35" s="151"/>
      <c r="E35" s="144"/>
      <c r="F35" s="75" t="s">
        <v>143</v>
      </c>
      <c r="G35" s="75" t="s">
        <v>144</v>
      </c>
      <c r="H35" s="75" t="s">
        <v>25</v>
      </c>
      <c r="I35" s="74" t="s">
        <v>145</v>
      </c>
      <c r="J35" s="103"/>
      <c r="K35" s="99"/>
    </row>
    <row r="36" spans="1:11" x14ac:dyDescent="0.2">
      <c r="A36" s="146" t="s">
        <v>682</v>
      </c>
      <c r="B36" s="133" t="s">
        <v>553</v>
      </c>
      <c r="C36" s="147" t="s">
        <v>684</v>
      </c>
      <c r="D36" s="149" t="s">
        <v>685</v>
      </c>
      <c r="E36" s="145">
        <v>1</v>
      </c>
      <c r="F36" s="72" t="s">
        <v>256</v>
      </c>
      <c r="G36" s="72" t="s">
        <v>257</v>
      </c>
      <c r="H36" s="75" t="s">
        <v>17</v>
      </c>
      <c r="I36" s="74" t="s">
        <v>258</v>
      </c>
      <c r="J36" s="101">
        <v>142</v>
      </c>
    </row>
    <row r="37" spans="1:11" x14ac:dyDescent="0.2">
      <c r="A37" s="146"/>
      <c r="B37" s="133"/>
      <c r="C37" s="147"/>
      <c r="D37" s="150"/>
      <c r="E37" s="145"/>
      <c r="F37" s="75" t="s">
        <v>137</v>
      </c>
      <c r="G37" s="75" t="s">
        <v>138</v>
      </c>
      <c r="H37" s="75" t="s">
        <v>17</v>
      </c>
      <c r="I37" s="74" t="s">
        <v>139</v>
      </c>
      <c r="J37" s="102"/>
    </row>
    <row r="38" spans="1:11" x14ac:dyDescent="0.2">
      <c r="A38" s="146"/>
      <c r="B38" s="133"/>
      <c r="C38" s="147"/>
      <c r="D38" s="151"/>
      <c r="E38" s="145"/>
      <c r="F38" s="75" t="s">
        <v>30</v>
      </c>
      <c r="G38" s="75" t="s">
        <v>31</v>
      </c>
      <c r="H38" s="75" t="s">
        <v>17</v>
      </c>
      <c r="I38" s="74" t="s">
        <v>32</v>
      </c>
      <c r="J38" s="103"/>
    </row>
    <row r="39" spans="1:11" x14ac:dyDescent="0.2">
      <c r="A39" s="146" t="s">
        <v>682</v>
      </c>
      <c r="B39" s="133" t="s">
        <v>553</v>
      </c>
      <c r="C39" s="147" t="s">
        <v>684</v>
      </c>
      <c r="D39" s="149" t="s">
        <v>685</v>
      </c>
      <c r="E39" s="143">
        <v>2</v>
      </c>
      <c r="F39" s="72" t="s">
        <v>200</v>
      </c>
      <c r="G39" s="72" t="s">
        <v>201</v>
      </c>
      <c r="H39" s="75" t="s">
        <v>25</v>
      </c>
      <c r="I39" s="74" t="s">
        <v>202</v>
      </c>
      <c r="J39" s="101">
        <v>134</v>
      </c>
    </row>
    <row r="40" spans="1:11" x14ac:dyDescent="0.2">
      <c r="A40" s="146"/>
      <c r="B40" s="133"/>
      <c r="C40" s="147"/>
      <c r="D40" s="150"/>
      <c r="E40" s="143"/>
      <c r="F40" s="72" t="s">
        <v>71</v>
      </c>
      <c r="G40" s="72" t="s">
        <v>72</v>
      </c>
      <c r="H40" s="75" t="s">
        <v>25</v>
      </c>
      <c r="I40" s="74" t="s">
        <v>73</v>
      </c>
      <c r="J40" s="102"/>
    </row>
    <row r="41" spans="1:11" x14ac:dyDescent="0.2">
      <c r="A41" s="146"/>
      <c r="B41" s="133"/>
      <c r="C41" s="147"/>
      <c r="D41" s="151"/>
      <c r="E41" s="143"/>
      <c r="F41" s="72" t="s">
        <v>400</v>
      </c>
      <c r="G41" s="72" t="s">
        <v>401</v>
      </c>
      <c r="H41" s="75" t="s">
        <v>25</v>
      </c>
      <c r="I41" s="74" t="s">
        <v>402</v>
      </c>
      <c r="J41" s="103"/>
    </row>
    <row r="42" spans="1:11" x14ac:dyDescent="0.2">
      <c r="A42" s="146" t="s">
        <v>682</v>
      </c>
      <c r="B42" s="133" t="s">
        <v>553</v>
      </c>
      <c r="C42" s="147" t="s">
        <v>684</v>
      </c>
      <c r="D42" s="149" t="s">
        <v>685</v>
      </c>
      <c r="E42" s="143">
        <v>3</v>
      </c>
      <c r="F42" s="75" t="s">
        <v>90</v>
      </c>
      <c r="G42" s="75" t="s">
        <v>91</v>
      </c>
      <c r="H42" s="75" t="s">
        <v>17</v>
      </c>
      <c r="I42" s="74" t="s">
        <v>92</v>
      </c>
      <c r="J42" s="101">
        <v>132</v>
      </c>
    </row>
    <row r="43" spans="1:11" x14ac:dyDescent="0.2">
      <c r="A43" s="146"/>
      <c r="B43" s="133"/>
      <c r="C43" s="147"/>
      <c r="D43" s="150"/>
      <c r="E43" s="143"/>
      <c r="F43" s="75" t="s">
        <v>247</v>
      </c>
      <c r="G43" s="75" t="s">
        <v>248</v>
      </c>
      <c r="H43" s="75" t="s">
        <v>17</v>
      </c>
      <c r="I43" s="74" t="s">
        <v>249</v>
      </c>
      <c r="J43" s="102"/>
    </row>
    <row r="44" spans="1:11" x14ac:dyDescent="0.2">
      <c r="A44" s="146"/>
      <c r="B44" s="133"/>
      <c r="C44" s="147"/>
      <c r="D44" s="151"/>
      <c r="E44" s="143"/>
      <c r="F44" s="75" t="s">
        <v>225</v>
      </c>
      <c r="G44" s="75" t="s">
        <v>226</v>
      </c>
      <c r="H44" s="75" t="s">
        <v>54</v>
      </c>
      <c r="I44" s="74" t="s">
        <v>227</v>
      </c>
      <c r="J44" s="103"/>
    </row>
    <row r="45" spans="1:11" ht="15.75" customHeight="1" x14ac:dyDescent="0.2">
      <c r="A45" s="146" t="s">
        <v>682</v>
      </c>
      <c r="B45" s="133" t="s">
        <v>553</v>
      </c>
      <c r="C45" s="147" t="s">
        <v>684</v>
      </c>
      <c r="D45" s="149" t="s">
        <v>685</v>
      </c>
      <c r="E45" s="143">
        <v>4</v>
      </c>
      <c r="F45" s="75" t="s">
        <v>440</v>
      </c>
      <c r="G45" s="75" t="s">
        <v>441</v>
      </c>
      <c r="H45" s="75" t="s">
        <v>154</v>
      </c>
      <c r="I45" s="74" t="s">
        <v>442</v>
      </c>
      <c r="J45" s="101">
        <v>131</v>
      </c>
    </row>
    <row r="46" spans="1:11" ht="12.75" customHeight="1" x14ac:dyDescent="0.2">
      <c r="A46" s="146"/>
      <c r="B46" s="133"/>
      <c r="C46" s="147"/>
      <c r="D46" s="150"/>
      <c r="E46" s="143"/>
      <c r="F46" s="75" t="s">
        <v>458</v>
      </c>
      <c r="G46" s="75" t="s">
        <v>459</v>
      </c>
      <c r="H46" s="75" t="s">
        <v>154</v>
      </c>
      <c r="I46" s="74" t="s">
        <v>460</v>
      </c>
      <c r="J46" s="102"/>
    </row>
    <row r="47" spans="1:11" ht="13.5" customHeight="1" x14ac:dyDescent="0.2">
      <c r="A47" s="146"/>
      <c r="B47" s="133"/>
      <c r="C47" s="147"/>
      <c r="D47" s="151"/>
      <c r="E47" s="143"/>
      <c r="F47" s="75" t="s">
        <v>463</v>
      </c>
      <c r="G47" s="75" t="s">
        <v>464</v>
      </c>
      <c r="H47" s="75" t="s">
        <v>154</v>
      </c>
      <c r="I47" s="74" t="s">
        <v>465</v>
      </c>
      <c r="J47" s="103"/>
    </row>
    <row r="48" spans="1:11" x14ac:dyDescent="0.2">
      <c r="A48" s="146" t="s">
        <v>682</v>
      </c>
      <c r="B48" s="133" t="s">
        <v>553</v>
      </c>
      <c r="C48" s="147" t="s">
        <v>684</v>
      </c>
      <c r="D48" s="149" t="s">
        <v>685</v>
      </c>
      <c r="E48" s="143">
        <v>5</v>
      </c>
      <c r="F48" s="72" t="s">
        <v>310</v>
      </c>
      <c r="G48" s="72" t="s">
        <v>311</v>
      </c>
      <c r="H48" s="75" t="s">
        <v>312</v>
      </c>
      <c r="I48" s="74" t="s">
        <v>313</v>
      </c>
      <c r="J48" s="101">
        <v>128</v>
      </c>
    </row>
    <row r="49" spans="1:10" x14ac:dyDescent="0.2">
      <c r="A49" s="146"/>
      <c r="B49" s="133"/>
      <c r="C49" s="147"/>
      <c r="D49" s="150"/>
      <c r="E49" s="143"/>
      <c r="F49" s="75" t="s">
        <v>372</v>
      </c>
      <c r="G49" s="75" t="s">
        <v>373</v>
      </c>
      <c r="H49" s="75" t="s">
        <v>9</v>
      </c>
      <c r="I49" s="74" t="s">
        <v>374</v>
      </c>
      <c r="J49" s="102"/>
    </row>
    <row r="50" spans="1:10" x14ac:dyDescent="0.2">
      <c r="A50" s="146"/>
      <c r="B50" s="133"/>
      <c r="C50" s="147"/>
      <c r="D50" s="151"/>
      <c r="E50" s="143"/>
      <c r="F50" s="75" t="s">
        <v>156</v>
      </c>
      <c r="G50" s="75" t="s">
        <v>157</v>
      </c>
      <c r="H50" s="75" t="s">
        <v>17</v>
      </c>
      <c r="I50" s="74" t="s">
        <v>158</v>
      </c>
      <c r="J50" s="103"/>
    </row>
    <row r="51" spans="1:10" x14ac:dyDescent="0.2">
      <c r="A51" s="146" t="s">
        <v>682</v>
      </c>
      <c r="B51" s="133" t="s">
        <v>553</v>
      </c>
      <c r="C51" s="147" t="s">
        <v>684</v>
      </c>
      <c r="D51" s="149" t="s">
        <v>685</v>
      </c>
      <c r="E51" s="143">
        <v>6</v>
      </c>
      <c r="F51" s="75" t="s">
        <v>351</v>
      </c>
      <c r="G51" s="75" t="s">
        <v>352</v>
      </c>
      <c r="H51" s="75" t="s">
        <v>9</v>
      </c>
      <c r="I51" s="74" t="s">
        <v>353</v>
      </c>
      <c r="J51" s="101">
        <v>123</v>
      </c>
    </row>
    <row r="52" spans="1:10" x14ac:dyDescent="0.2">
      <c r="A52" s="146"/>
      <c r="B52" s="133"/>
      <c r="C52" s="147"/>
      <c r="D52" s="150"/>
      <c r="E52" s="143"/>
      <c r="F52" s="75" t="s">
        <v>281</v>
      </c>
      <c r="G52" s="75" t="s">
        <v>282</v>
      </c>
      <c r="H52" s="75" t="s">
        <v>9</v>
      </c>
      <c r="I52" s="74" t="s">
        <v>283</v>
      </c>
      <c r="J52" s="102"/>
    </row>
    <row r="53" spans="1:10" x14ac:dyDescent="0.2">
      <c r="A53" s="146"/>
      <c r="B53" s="133"/>
      <c r="C53" s="147"/>
      <c r="D53" s="151"/>
      <c r="E53" s="143"/>
      <c r="F53" s="75" t="s">
        <v>162</v>
      </c>
      <c r="G53" s="75" t="s">
        <v>163</v>
      </c>
      <c r="H53" s="75" t="s">
        <v>9</v>
      </c>
      <c r="I53" s="74" t="s">
        <v>164</v>
      </c>
      <c r="J53" s="103"/>
    </row>
    <row r="54" spans="1:10" x14ac:dyDescent="0.2">
      <c r="A54" s="146" t="s">
        <v>682</v>
      </c>
      <c r="B54" s="133" t="s">
        <v>553</v>
      </c>
      <c r="C54" s="147" t="s">
        <v>684</v>
      </c>
      <c r="D54" s="149" t="s">
        <v>685</v>
      </c>
      <c r="E54" s="143">
        <v>7</v>
      </c>
      <c r="F54" s="75" t="s">
        <v>120</v>
      </c>
      <c r="G54" s="75" t="s">
        <v>121</v>
      </c>
      <c r="H54" s="75" t="s">
        <v>17</v>
      </c>
      <c r="I54" s="74" t="s">
        <v>122</v>
      </c>
      <c r="J54" s="101">
        <v>112</v>
      </c>
    </row>
    <row r="55" spans="1:10" x14ac:dyDescent="0.2">
      <c r="A55" s="146"/>
      <c r="B55" s="133"/>
      <c r="C55" s="147"/>
      <c r="D55" s="150"/>
      <c r="E55" s="143"/>
      <c r="F55" s="75" t="s">
        <v>131</v>
      </c>
      <c r="G55" s="75" t="s">
        <v>132</v>
      </c>
      <c r="H55" s="75" t="s">
        <v>17</v>
      </c>
      <c r="I55" s="74" t="s">
        <v>133</v>
      </c>
      <c r="J55" s="102"/>
    </row>
    <row r="56" spans="1:10" x14ac:dyDescent="0.2">
      <c r="A56" s="146"/>
      <c r="B56" s="133"/>
      <c r="C56" s="147"/>
      <c r="D56" s="151"/>
      <c r="E56" s="143"/>
      <c r="F56" s="75" t="s">
        <v>36</v>
      </c>
      <c r="G56" s="75" t="s">
        <v>37</v>
      </c>
      <c r="H56" s="75" t="s">
        <v>17</v>
      </c>
      <c r="I56" s="74" t="s">
        <v>38</v>
      </c>
      <c r="J56" s="103"/>
    </row>
    <row r="57" spans="1:10" x14ac:dyDescent="0.2">
      <c r="A57" s="146" t="s">
        <v>682</v>
      </c>
      <c r="B57" s="133" t="s">
        <v>553</v>
      </c>
      <c r="C57" s="147" t="s">
        <v>684</v>
      </c>
      <c r="D57" s="149" t="s">
        <v>685</v>
      </c>
      <c r="E57" s="143">
        <v>8</v>
      </c>
      <c r="F57" s="75" t="s">
        <v>367</v>
      </c>
      <c r="G57" s="75" t="s">
        <v>368</v>
      </c>
      <c r="H57" s="75" t="s">
        <v>9</v>
      </c>
      <c r="I57" s="74" t="s">
        <v>369</v>
      </c>
      <c r="J57" s="101">
        <v>86</v>
      </c>
    </row>
    <row r="58" spans="1:10" x14ac:dyDescent="0.2">
      <c r="A58" s="146"/>
      <c r="B58" s="133"/>
      <c r="C58" s="147"/>
      <c r="D58" s="150"/>
      <c r="E58" s="143"/>
      <c r="F58" s="75" t="s">
        <v>382</v>
      </c>
      <c r="G58" s="75" t="s">
        <v>383</v>
      </c>
      <c r="H58" s="75" t="s">
        <v>9</v>
      </c>
      <c r="I58" s="74" t="s">
        <v>384</v>
      </c>
      <c r="J58" s="102"/>
    </row>
    <row r="59" spans="1:10" x14ac:dyDescent="0.2">
      <c r="A59" s="146"/>
      <c r="B59" s="133"/>
      <c r="C59" s="147"/>
      <c r="D59" s="151"/>
      <c r="E59" s="143"/>
      <c r="F59" s="75" t="s">
        <v>49</v>
      </c>
      <c r="G59" s="75" t="s">
        <v>50</v>
      </c>
      <c r="H59" s="75" t="s">
        <v>17</v>
      </c>
      <c r="I59" s="74" t="s">
        <v>51</v>
      </c>
      <c r="J59" s="103"/>
    </row>
    <row r="60" spans="1:10" x14ac:dyDescent="0.2">
      <c r="A60" s="146" t="s">
        <v>682</v>
      </c>
      <c r="B60" s="133" t="s">
        <v>553</v>
      </c>
      <c r="C60" s="147" t="s">
        <v>684</v>
      </c>
      <c r="D60" s="149" t="s">
        <v>685</v>
      </c>
      <c r="E60" s="143">
        <v>9</v>
      </c>
      <c r="F60" s="72" t="s">
        <v>222</v>
      </c>
      <c r="G60" s="72" t="s">
        <v>223</v>
      </c>
      <c r="H60" s="75" t="s">
        <v>21</v>
      </c>
      <c r="I60" s="74" t="s">
        <v>224</v>
      </c>
      <c r="J60" s="101">
        <v>64</v>
      </c>
    </row>
    <row r="61" spans="1:10" x14ac:dyDescent="0.2">
      <c r="A61" s="146"/>
      <c r="B61" s="133"/>
      <c r="C61" s="147"/>
      <c r="D61" s="150"/>
      <c r="E61" s="143"/>
      <c r="F61" s="75" t="s">
        <v>209</v>
      </c>
      <c r="G61" s="75" t="s">
        <v>24</v>
      </c>
      <c r="H61" s="75" t="s">
        <v>21</v>
      </c>
      <c r="I61" s="74" t="s">
        <v>210</v>
      </c>
      <c r="J61" s="102"/>
    </row>
    <row r="62" spans="1:10" x14ac:dyDescent="0.2">
      <c r="A62" s="146"/>
      <c r="B62" s="133"/>
      <c r="C62" s="147"/>
      <c r="D62" s="151"/>
      <c r="E62" s="143"/>
      <c r="F62" s="12"/>
      <c r="G62" s="12"/>
      <c r="H62" s="12"/>
      <c r="I62" s="74"/>
      <c r="J62" s="103"/>
    </row>
    <row r="63" spans="1:10" x14ac:dyDescent="0.2">
      <c r="A63" s="146" t="s">
        <v>682</v>
      </c>
      <c r="B63" s="133" t="s">
        <v>553</v>
      </c>
      <c r="C63" s="147" t="s">
        <v>684</v>
      </c>
      <c r="D63" s="149" t="s">
        <v>685</v>
      </c>
      <c r="E63" s="143">
        <v>10</v>
      </c>
      <c r="F63" s="72" t="s">
        <v>385</v>
      </c>
      <c r="G63" s="72" t="s">
        <v>386</v>
      </c>
      <c r="H63" s="75" t="s">
        <v>25</v>
      </c>
      <c r="I63" s="74" t="s">
        <v>142</v>
      </c>
      <c r="J63" s="101">
        <v>53</v>
      </c>
    </row>
    <row r="64" spans="1:10" x14ac:dyDescent="0.2">
      <c r="A64" s="146"/>
      <c r="B64" s="133"/>
      <c r="C64" s="147"/>
      <c r="D64" s="150"/>
      <c r="E64" s="143"/>
      <c r="F64" s="75" t="s">
        <v>62</v>
      </c>
      <c r="G64" s="75" t="s">
        <v>63</v>
      </c>
      <c r="H64" s="75" t="s">
        <v>25</v>
      </c>
      <c r="I64" s="74" t="s">
        <v>64</v>
      </c>
      <c r="J64" s="102"/>
    </row>
    <row r="65" spans="1:10" x14ac:dyDescent="0.2">
      <c r="A65" s="146"/>
      <c r="B65" s="133"/>
      <c r="C65" s="147"/>
      <c r="D65" s="151"/>
      <c r="E65" s="143"/>
      <c r="F65" s="12"/>
      <c r="G65" s="12"/>
      <c r="H65" s="12"/>
      <c r="I65" s="74"/>
      <c r="J65" s="103"/>
    </row>
  </sheetData>
  <mergeCells count="106">
    <mergeCell ref="A57:A59"/>
    <mergeCell ref="B57:B59"/>
    <mergeCell ref="C57:C59"/>
    <mergeCell ref="D57:D59"/>
    <mergeCell ref="E57:E59"/>
    <mergeCell ref="A54:A56"/>
    <mergeCell ref="B54:B56"/>
    <mergeCell ref="C54:C56"/>
    <mergeCell ref="D54:D56"/>
    <mergeCell ref="E54:E56"/>
    <mergeCell ref="A51:A53"/>
    <mergeCell ref="B51:B53"/>
    <mergeCell ref="C51:C53"/>
    <mergeCell ref="D51:D53"/>
    <mergeCell ref="E51:E53"/>
    <mergeCell ref="A33:A35"/>
    <mergeCell ref="B33:B35"/>
    <mergeCell ref="C33:C35"/>
    <mergeCell ref="D33:D35"/>
    <mergeCell ref="E33:E35"/>
    <mergeCell ref="E42:E44"/>
    <mergeCell ref="A42:A44"/>
    <mergeCell ref="B42:B44"/>
    <mergeCell ref="C42:C44"/>
    <mergeCell ref="D42:D44"/>
    <mergeCell ref="A39:A41"/>
    <mergeCell ref="B39:B41"/>
    <mergeCell ref="C39:C41"/>
    <mergeCell ref="D39:D41"/>
    <mergeCell ref="E39:E41"/>
    <mergeCell ref="A36:A38"/>
    <mergeCell ref="B36:B38"/>
    <mergeCell ref="C36:C38"/>
    <mergeCell ref="D36:D38"/>
    <mergeCell ref="A1:J1"/>
    <mergeCell ref="D3:D5"/>
    <mergeCell ref="A6:A8"/>
    <mergeCell ref="B6:B8"/>
    <mergeCell ref="C6:C8"/>
    <mergeCell ref="E3:E5"/>
    <mergeCell ref="A3:A5"/>
    <mergeCell ref="B3:B5"/>
    <mergeCell ref="C3:C5"/>
    <mergeCell ref="E6:E8"/>
    <mergeCell ref="A9:A11"/>
    <mergeCell ref="B9:B11"/>
    <mergeCell ref="C9:C11"/>
    <mergeCell ref="D9:D11"/>
    <mergeCell ref="D12:D14"/>
    <mergeCell ref="D18:D20"/>
    <mergeCell ref="D24:D26"/>
    <mergeCell ref="A27:A29"/>
    <mergeCell ref="B27:B29"/>
    <mergeCell ref="A15:A17"/>
    <mergeCell ref="B15:B17"/>
    <mergeCell ref="E12:E14"/>
    <mergeCell ref="D6:D8"/>
    <mergeCell ref="C15:C17"/>
    <mergeCell ref="D15:D17"/>
    <mergeCell ref="E15:E17"/>
    <mergeCell ref="A24:A26"/>
    <mergeCell ref="B24:B26"/>
    <mergeCell ref="E30:E32"/>
    <mergeCell ref="A30:A32"/>
    <mergeCell ref="B30:B32"/>
    <mergeCell ref="C30:C32"/>
    <mergeCell ref="E9:E11"/>
    <mergeCell ref="A18:A20"/>
    <mergeCell ref="B18:B20"/>
    <mergeCell ref="C18:C20"/>
    <mergeCell ref="A12:A14"/>
    <mergeCell ref="B12:B14"/>
    <mergeCell ref="C12:C14"/>
    <mergeCell ref="A21:A23"/>
    <mergeCell ref="B21:B23"/>
    <mergeCell ref="C21:C23"/>
    <mergeCell ref="D21:D23"/>
    <mergeCell ref="E21:E23"/>
    <mergeCell ref="E18:E20"/>
    <mergeCell ref="E36:E38"/>
    <mergeCell ref="C24:C26"/>
    <mergeCell ref="E27:E29"/>
    <mergeCell ref="D30:D32"/>
    <mergeCell ref="C27:C29"/>
    <mergeCell ref="D27:D29"/>
    <mergeCell ref="A48:A50"/>
    <mergeCell ref="B48:B50"/>
    <mergeCell ref="C48:C50"/>
    <mergeCell ref="D48:D50"/>
    <mergeCell ref="E48:E50"/>
    <mergeCell ref="A45:A47"/>
    <mergeCell ref="B45:B47"/>
    <mergeCell ref="C45:C47"/>
    <mergeCell ref="D45:D47"/>
    <mergeCell ref="E45:E47"/>
    <mergeCell ref="E24:E26"/>
    <mergeCell ref="A60:A62"/>
    <mergeCell ref="B60:B62"/>
    <mergeCell ref="C60:C62"/>
    <mergeCell ref="D60:D62"/>
    <mergeCell ref="E60:E62"/>
    <mergeCell ref="A63:A65"/>
    <mergeCell ref="B63:B65"/>
    <mergeCell ref="C63:C65"/>
    <mergeCell ref="D63:D65"/>
    <mergeCell ref="E63:E65"/>
  </mergeCells>
  <phoneticPr fontId="64" type="noConversion"/>
  <pageMargins left="0.39370078740157483" right="0.51181102362204722" top="0.11811023622047245" bottom="0.11811023622047245" header="0.11811023622047245" footer="0.11811023622047245"/>
  <pageSetup paperSize="9" scale="7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6600"/>
    <pageSetUpPr fitToPage="1"/>
  </sheetPr>
  <dimension ref="A1:J52"/>
  <sheetViews>
    <sheetView topLeftCell="A14" zoomScale="95" workbookViewId="0">
      <selection activeCell="L40" sqref="L40"/>
    </sheetView>
  </sheetViews>
  <sheetFormatPr baseColWidth="10" defaultColWidth="28.140625" defaultRowHeight="12.75" x14ac:dyDescent="0.2"/>
  <cols>
    <col min="1" max="1" width="14.140625" style="3" bestFit="1" customWidth="1"/>
    <col min="2" max="2" width="8.42578125" style="3" bestFit="1" customWidth="1"/>
    <col min="3" max="3" width="8.85546875" style="18" bestFit="1" customWidth="1"/>
    <col min="4" max="4" width="27.85546875" style="4" bestFit="1" customWidth="1"/>
    <col min="5" max="5" width="3.140625" style="15" bestFit="1" customWidth="1"/>
    <col min="6" max="6" width="25.7109375" style="16" customWidth="1"/>
    <col min="7" max="7" width="12.7109375" style="3" bestFit="1" customWidth="1"/>
    <col min="8" max="8" width="23.7109375" style="17" bestFit="1" customWidth="1"/>
    <col min="9" max="9" width="12.7109375" style="2" bestFit="1" customWidth="1"/>
    <col min="10" max="10" width="8.28515625" style="2" customWidth="1"/>
    <col min="11" max="16384" width="28.140625" style="2"/>
  </cols>
  <sheetData>
    <row r="1" spans="1:10" s="1" customFormat="1" ht="26.25" x14ac:dyDescent="0.2">
      <c r="A1" s="138" t="s">
        <v>551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x14ac:dyDescent="0.2">
      <c r="F2" s="31"/>
    </row>
    <row r="3" spans="1:10" x14ac:dyDescent="0.2">
      <c r="A3" s="158" t="s">
        <v>682</v>
      </c>
      <c r="B3" s="161" t="s">
        <v>553</v>
      </c>
      <c r="C3" s="134" t="s">
        <v>558</v>
      </c>
      <c r="D3" s="135" t="s">
        <v>686</v>
      </c>
      <c r="E3" s="157">
        <v>1</v>
      </c>
      <c r="F3" s="72" t="s">
        <v>385</v>
      </c>
      <c r="G3" s="72" t="s">
        <v>386</v>
      </c>
      <c r="H3" s="110" t="s">
        <v>25</v>
      </c>
      <c r="I3" s="111" t="s">
        <v>142</v>
      </c>
      <c r="J3" s="140" t="str">
        <f>"153"</f>
        <v>153</v>
      </c>
    </row>
    <row r="4" spans="1:10" x14ac:dyDescent="0.2">
      <c r="A4" s="159"/>
      <c r="B4" s="162"/>
      <c r="C4" s="134"/>
      <c r="D4" s="136"/>
      <c r="E4" s="157"/>
      <c r="F4" s="75" t="s">
        <v>68</v>
      </c>
      <c r="G4" s="75" t="s">
        <v>69</v>
      </c>
      <c r="H4" s="110" t="s">
        <v>25</v>
      </c>
      <c r="I4" s="111" t="s">
        <v>70</v>
      </c>
      <c r="J4" s="141"/>
    </row>
    <row r="5" spans="1:10" x14ac:dyDescent="0.2">
      <c r="A5" s="160"/>
      <c r="B5" s="163"/>
      <c r="C5" s="134"/>
      <c r="D5" s="136"/>
      <c r="E5" s="157"/>
      <c r="F5" s="75" t="s">
        <v>96</v>
      </c>
      <c r="G5" s="75" t="s">
        <v>97</v>
      </c>
      <c r="H5" s="110" t="s">
        <v>25</v>
      </c>
      <c r="I5" s="111" t="s">
        <v>98</v>
      </c>
      <c r="J5" s="142"/>
    </row>
    <row r="6" spans="1:10" x14ac:dyDescent="0.2">
      <c r="A6" s="146" t="s">
        <v>682</v>
      </c>
      <c r="B6" s="133" t="s">
        <v>553</v>
      </c>
      <c r="C6" s="152" t="s">
        <v>558</v>
      </c>
      <c r="D6" s="135" t="s">
        <v>686</v>
      </c>
      <c r="E6" s="144" t="str">
        <f>"2"</f>
        <v>2</v>
      </c>
      <c r="F6" s="72" t="s">
        <v>217</v>
      </c>
      <c r="G6" s="72" t="s">
        <v>66</v>
      </c>
      <c r="H6" s="110" t="s">
        <v>25</v>
      </c>
      <c r="I6" s="111" t="s">
        <v>218</v>
      </c>
      <c r="J6" s="140" t="str">
        <f>"150,5"</f>
        <v>150,5</v>
      </c>
    </row>
    <row r="7" spans="1:10" x14ac:dyDescent="0.2">
      <c r="A7" s="146"/>
      <c r="B7" s="133"/>
      <c r="C7" s="152"/>
      <c r="D7" s="136"/>
      <c r="E7" s="144"/>
      <c r="F7" s="75" t="s">
        <v>345</v>
      </c>
      <c r="G7" s="75" t="s">
        <v>346</v>
      </c>
      <c r="H7" s="110" t="s">
        <v>25</v>
      </c>
      <c r="I7" s="111" t="s">
        <v>347</v>
      </c>
      <c r="J7" s="141"/>
    </row>
    <row r="8" spans="1:10" x14ac:dyDescent="0.2">
      <c r="A8" s="146"/>
      <c r="B8" s="133"/>
      <c r="C8" s="152"/>
      <c r="D8" s="136"/>
      <c r="E8" s="144"/>
      <c r="F8" s="75" t="s">
        <v>514</v>
      </c>
      <c r="G8" s="75" t="s">
        <v>515</v>
      </c>
      <c r="H8" s="110" t="s">
        <v>25</v>
      </c>
      <c r="I8" s="111" t="s">
        <v>516</v>
      </c>
      <c r="J8" s="142"/>
    </row>
    <row r="9" spans="1:10" x14ac:dyDescent="0.2">
      <c r="A9" s="146" t="s">
        <v>682</v>
      </c>
      <c r="B9" s="133" t="s">
        <v>553</v>
      </c>
      <c r="C9" s="152" t="s">
        <v>558</v>
      </c>
      <c r="D9" s="135" t="s">
        <v>686</v>
      </c>
      <c r="E9" s="144" t="str">
        <f>"3"</f>
        <v>3</v>
      </c>
      <c r="F9" s="72" t="s">
        <v>46</v>
      </c>
      <c r="G9" s="72" t="s">
        <v>47</v>
      </c>
      <c r="H9" s="110" t="s">
        <v>25</v>
      </c>
      <c r="I9" s="111" t="s">
        <v>48</v>
      </c>
      <c r="J9" s="140" t="str">
        <f>"145,5"</f>
        <v>145,5</v>
      </c>
    </row>
    <row r="10" spans="1:10" x14ac:dyDescent="0.2">
      <c r="A10" s="146"/>
      <c r="B10" s="133"/>
      <c r="C10" s="152"/>
      <c r="D10" s="136"/>
      <c r="E10" s="144"/>
      <c r="F10" s="75" t="s">
        <v>74</v>
      </c>
      <c r="G10" s="75" t="s">
        <v>75</v>
      </c>
      <c r="H10" s="110" t="s">
        <v>25</v>
      </c>
      <c r="I10" s="111" t="s">
        <v>76</v>
      </c>
      <c r="J10" s="141"/>
    </row>
    <row r="11" spans="1:10" x14ac:dyDescent="0.2">
      <c r="A11" s="146"/>
      <c r="B11" s="133"/>
      <c r="C11" s="152"/>
      <c r="D11" s="136"/>
      <c r="E11" s="144"/>
      <c r="F11" s="75" t="s">
        <v>125</v>
      </c>
      <c r="G11" s="75" t="s">
        <v>126</v>
      </c>
      <c r="H11" s="110" t="s">
        <v>25</v>
      </c>
      <c r="I11" s="111" t="s">
        <v>127</v>
      </c>
      <c r="J11" s="142"/>
    </row>
    <row r="12" spans="1:10" x14ac:dyDescent="0.2">
      <c r="A12" s="146" t="s">
        <v>682</v>
      </c>
      <c r="B12" s="133" t="s">
        <v>553</v>
      </c>
      <c r="C12" s="152" t="s">
        <v>558</v>
      </c>
      <c r="D12" s="135" t="s">
        <v>686</v>
      </c>
      <c r="E12" s="144" t="str">
        <f>"4"</f>
        <v>4</v>
      </c>
      <c r="F12" s="72" t="s">
        <v>694</v>
      </c>
      <c r="G12" s="72" t="s">
        <v>695</v>
      </c>
      <c r="H12" s="110" t="s">
        <v>25</v>
      </c>
      <c r="I12" s="111" t="s">
        <v>696</v>
      </c>
      <c r="J12" s="140" t="str">
        <f>"142,5"</f>
        <v>142,5</v>
      </c>
    </row>
    <row r="13" spans="1:10" x14ac:dyDescent="0.2">
      <c r="A13" s="146"/>
      <c r="B13" s="133"/>
      <c r="C13" s="152"/>
      <c r="D13" s="136"/>
      <c r="E13" s="144"/>
      <c r="F13" s="72" t="s">
        <v>128</v>
      </c>
      <c r="G13" s="72" t="s">
        <v>129</v>
      </c>
      <c r="H13" s="110" t="s">
        <v>25</v>
      </c>
      <c r="I13" s="111" t="s">
        <v>130</v>
      </c>
      <c r="J13" s="141"/>
    </row>
    <row r="14" spans="1:10" x14ac:dyDescent="0.2">
      <c r="A14" s="146"/>
      <c r="B14" s="133"/>
      <c r="C14" s="152"/>
      <c r="D14" s="136"/>
      <c r="E14" s="144"/>
      <c r="F14" s="75" t="s">
        <v>314</v>
      </c>
      <c r="G14" s="75" t="s">
        <v>315</v>
      </c>
      <c r="H14" s="110" t="s">
        <v>25</v>
      </c>
      <c r="I14" s="111" t="s">
        <v>316</v>
      </c>
      <c r="J14" s="142"/>
    </row>
    <row r="15" spans="1:10" x14ac:dyDescent="0.2">
      <c r="A15" s="146" t="s">
        <v>682</v>
      </c>
      <c r="B15" s="133" t="s">
        <v>553</v>
      </c>
      <c r="C15" s="152" t="s">
        <v>558</v>
      </c>
      <c r="D15" s="135" t="s">
        <v>686</v>
      </c>
      <c r="E15" s="144">
        <v>5</v>
      </c>
      <c r="F15" s="72" t="s">
        <v>256</v>
      </c>
      <c r="G15" s="72" t="s">
        <v>257</v>
      </c>
      <c r="H15" s="110" t="s">
        <v>17</v>
      </c>
      <c r="I15" s="111" t="s">
        <v>258</v>
      </c>
      <c r="J15" s="140" t="str">
        <f>"138,5"</f>
        <v>138,5</v>
      </c>
    </row>
    <row r="16" spans="1:10" x14ac:dyDescent="0.2">
      <c r="A16" s="146"/>
      <c r="B16" s="133"/>
      <c r="C16" s="152"/>
      <c r="D16" s="136"/>
      <c r="E16" s="144"/>
      <c r="F16" s="75" t="s">
        <v>90</v>
      </c>
      <c r="G16" s="75" t="s">
        <v>91</v>
      </c>
      <c r="H16" s="110" t="s">
        <v>17</v>
      </c>
      <c r="I16" s="111" t="s">
        <v>92</v>
      </c>
      <c r="J16" s="141"/>
    </row>
    <row r="17" spans="1:10" x14ac:dyDescent="0.2">
      <c r="A17" s="146"/>
      <c r="B17" s="133"/>
      <c r="C17" s="152"/>
      <c r="D17" s="136"/>
      <c r="E17" s="144"/>
      <c r="F17" s="75" t="s">
        <v>247</v>
      </c>
      <c r="G17" s="75" t="s">
        <v>248</v>
      </c>
      <c r="H17" s="110" t="s">
        <v>17</v>
      </c>
      <c r="I17" s="111" t="s">
        <v>249</v>
      </c>
      <c r="J17" s="142"/>
    </row>
    <row r="18" spans="1:10" x14ac:dyDescent="0.2">
      <c r="A18" s="146" t="s">
        <v>682</v>
      </c>
      <c r="B18" s="133" t="s">
        <v>553</v>
      </c>
      <c r="C18" s="152" t="s">
        <v>558</v>
      </c>
      <c r="D18" s="135" t="s">
        <v>686</v>
      </c>
      <c r="E18" s="144">
        <v>6</v>
      </c>
      <c r="F18" s="72" t="s">
        <v>159</v>
      </c>
      <c r="G18" s="72" t="s">
        <v>160</v>
      </c>
      <c r="H18" s="110" t="s">
        <v>25</v>
      </c>
      <c r="I18" s="111" t="s">
        <v>678</v>
      </c>
      <c r="J18" s="140" t="str">
        <f>"138"</f>
        <v>138</v>
      </c>
    </row>
    <row r="19" spans="1:10" x14ac:dyDescent="0.2">
      <c r="A19" s="146"/>
      <c r="B19" s="133"/>
      <c r="C19" s="152"/>
      <c r="D19" s="136"/>
      <c r="E19" s="144"/>
      <c r="F19" s="72" t="s">
        <v>93</v>
      </c>
      <c r="G19" s="72" t="s">
        <v>94</v>
      </c>
      <c r="H19" s="110" t="s">
        <v>25</v>
      </c>
      <c r="I19" s="111" t="s">
        <v>95</v>
      </c>
      <c r="J19" s="141"/>
    </row>
    <row r="20" spans="1:10" x14ac:dyDescent="0.2">
      <c r="A20" s="146"/>
      <c r="B20" s="133"/>
      <c r="C20" s="152"/>
      <c r="D20" s="136"/>
      <c r="E20" s="144"/>
      <c r="F20" s="75" t="s">
        <v>318</v>
      </c>
      <c r="G20" s="75" t="s">
        <v>319</v>
      </c>
      <c r="H20" s="110" t="s">
        <v>25</v>
      </c>
      <c r="I20" s="111" t="s">
        <v>320</v>
      </c>
      <c r="J20" s="142"/>
    </row>
    <row r="21" spans="1:10" x14ac:dyDescent="0.2">
      <c r="A21" s="146" t="s">
        <v>682</v>
      </c>
      <c r="B21" s="133" t="s">
        <v>553</v>
      </c>
      <c r="C21" s="152" t="s">
        <v>558</v>
      </c>
      <c r="D21" s="135" t="s">
        <v>686</v>
      </c>
      <c r="E21" s="144">
        <v>7</v>
      </c>
      <c r="F21" s="72" t="s">
        <v>200</v>
      </c>
      <c r="G21" s="72" t="s">
        <v>201</v>
      </c>
      <c r="H21" s="110" t="s">
        <v>25</v>
      </c>
      <c r="I21" s="111" t="s">
        <v>202</v>
      </c>
      <c r="J21" s="140" t="str">
        <f>"137,5"</f>
        <v>137,5</v>
      </c>
    </row>
    <row r="22" spans="1:10" x14ac:dyDescent="0.2">
      <c r="A22" s="146"/>
      <c r="B22" s="133"/>
      <c r="C22" s="152"/>
      <c r="D22" s="136"/>
      <c r="E22" s="144"/>
      <c r="F22" s="72" t="s">
        <v>400</v>
      </c>
      <c r="G22" s="72" t="s">
        <v>401</v>
      </c>
      <c r="H22" s="110" t="s">
        <v>25</v>
      </c>
      <c r="I22" s="111" t="s">
        <v>402</v>
      </c>
      <c r="J22" s="141"/>
    </row>
    <row r="23" spans="1:10" x14ac:dyDescent="0.2">
      <c r="A23" s="146"/>
      <c r="B23" s="133"/>
      <c r="C23" s="152"/>
      <c r="D23" s="136"/>
      <c r="E23" s="144"/>
      <c r="F23" s="75" t="s">
        <v>62</v>
      </c>
      <c r="G23" s="75" t="s">
        <v>63</v>
      </c>
      <c r="H23" s="110" t="s">
        <v>25</v>
      </c>
      <c r="I23" s="111" t="s">
        <v>64</v>
      </c>
      <c r="J23" s="142"/>
    </row>
    <row r="24" spans="1:10" x14ac:dyDescent="0.2">
      <c r="A24" s="146" t="s">
        <v>682</v>
      </c>
      <c r="B24" s="133" t="s">
        <v>553</v>
      </c>
      <c r="C24" s="152" t="s">
        <v>558</v>
      </c>
      <c r="D24" s="135" t="s">
        <v>686</v>
      </c>
      <c r="E24" s="144">
        <v>8</v>
      </c>
      <c r="F24" s="72" t="s">
        <v>134</v>
      </c>
      <c r="G24" s="72" t="s">
        <v>135</v>
      </c>
      <c r="H24" s="110" t="s">
        <v>9</v>
      </c>
      <c r="I24" s="111" t="s">
        <v>136</v>
      </c>
      <c r="J24" s="140" t="str">
        <f>"137"</f>
        <v>137</v>
      </c>
    </row>
    <row r="25" spans="1:10" x14ac:dyDescent="0.2">
      <c r="A25" s="146"/>
      <c r="B25" s="133"/>
      <c r="C25" s="152"/>
      <c r="D25" s="136"/>
      <c r="E25" s="144"/>
      <c r="F25" s="75" t="s">
        <v>7</v>
      </c>
      <c r="G25" s="75" t="s">
        <v>8</v>
      </c>
      <c r="H25" s="110" t="s">
        <v>9</v>
      </c>
      <c r="I25" s="111" t="s">
        <v>10</v>
      </c>
      <c r="J25" s="141"/>
    </row>
    <row r="26" spans="1:10" x14ac:dyDescent="0.2">
      <c r="A26" s="146"/>
      <c r="B26" s="133"/>
      <c r="C26" s="152"/>
      <c r="D26" s="136"/>
      <c r="E26" s="144"/>
      <c r="F26" s="75" t="s">
        <v>36</v>
      </c>
      <c r="G26" s="75" t="s">
        <v>37</v>
      </c>
      <c r="H26" s="110" t="s">
        <v>17</v>
      </c>
      <c r="I26" s="111" t="s">
        <v>38</v>
      </c>
      <c r="J26" s="142"/>
    </row>
    <row r="27" spans="1:10" x14ac:dyDescent="0.2">
      <c r="A27" s="146" t="s">
        <v>682</v>
      </c>
      <c r="B27" s="133" t="s">
        <v>553</v>
      </c>
      <c r="C27" s="152" t="s">
        <v>558</v>
      </c>
      <c r="D27" s="135" t="s">
        <v>686</v>
      </c>
      <c r="E27" s="144">
        <v>9</v>
      </c>
      <c r="F27" s="72" t="s">
        <v>165</v>
      </c>
      <c r="G27" s="72" t="s">
        <v>166</v>
      </c>
      <c r="H27" s="110" t="s">
        <v>17</v>
      </c>
      <c r="I27" s="111" t="s">
        <v>167</v>
      </c>
      <c r="J27" s="140" t="str">
        <f>"127,5"</f>
        <v>127,5</v>
      </c>
    </row>
    <row r="28" spans="1:10" x14ac:dyDescent="0.2">
      <c r="A28" s="146"/>
      <c r="B28" s="133"/>
      <c r="C28" s="152"/>
      <c r="D28" s="136"/>
      <c r="E28" s="144"/>
      <c r="F28" s="75" t="s">
        <v>367</v>
      </c>
      <c r="G28" s="75" t="s">
        <v>368</v>
      </c>
      <c r="H28" s="110" t="s">
        <v>9</v>
      </c>
      <c r="I28" s="111" t="s">
        <v>369</v>
      </c>
      <c r="J28" s="141"/>
    </row>
    <row r="29" spans="1:10" x14ac:dyDescent="0.2">
      <c r="A29" s="146"/>
      <c r="B29" s="133"/>
      <c r="C29" s="152"/>
      <c r="D29" s="136"/>
      <c r="E29" s="144"/>
      <c r="F29" s="75" t="s">
        <v>382</v>
      </c>
      <c r="G29" s="75" t="s">
        <v>383</v>
      </c>
      <c r="H29" s="110" t="s">
        <v>9</v>
      </c>
      <c r="I29" s="111" t="s">
        <v>384</v>
      </c>
      <c r="J29" s="142"/>
    </row>
    <row r="30" spans="1:10" x14ac:dyDescent="0.2">
      <c r="A30" s="146" t="s">
        <v>682</v>
      </c>
      <c r="B30" s="133" t="s">
        <v>553</v>
      </c>
      <c r="C30" s="152" t="s">
        <v>558</v>
      </c>
      <c r="D30" s="135" t="s">
        <v>686</v>
      </c>
      <c r="E30" s="144">
        <v>10</v>
      </c>
      <c r="F30" s="72" t="s">
        <v>182</v>
      </c>
      <c r="G30" s="72" t="s">
        <v>183</v>
      </c>
      <c r="H30" s="110" t="s">
        <v>25</v>
      </c>
      <c r="I30" s="111" t="s">
        <v>184</v>
      </c>
      <c r="J30" s="140" t="str">
        <f>"122,5"</f>
        <v>122,5</v>
      </c>
    </row>
    <row r="31" spans="1:10" x14ac:dyDescent="0.2">
      <c r="A31" s="146"/>
      <c r="B31" s="133"/>
      <c r="C31" s="152"/>
      <c r="D31" s="136"/>
      <c r="E31" s="144"/>
      <c r="F31" s="72" t="s">
        <v>354</v>
      </c>
      <c r="G31" s="72" t="s">
        <v>355</v>
      </c>
      <c r="H31" s="110" t="s">
        <v>25</v>
      </c>
      <c r="I31" s="111" t="s">
        <v>55</v>
      </c>
      <c r="J31" s="141"/>
    </row>
    <row r="32" spans="1:10" x14ac:dyDescent="0.2">
      <c r="A32" s="146"/>
      <c r="B32" s="133"/>
      <c r="C32" s="152"/>
      <c r="D32" s="136"/>
      <c r="E32" s="144"/>
      <c r="F32" s="75" t="s">
        <v>179</v>
      </c>
      <c r="G32" s="75" t="s">
        <v>180</v>
      </c>
      <c r="H32" s="110" t="s">
        <v>25</v>
      </c>
      <c r="I32" s="111" t="s">
        <v>181</v>
      </c>
      <c r="J32" s="142"/>
    </row>
    <row r="33" spans="1:10" x14ac:dyDescent="0.2">
      <c r="A33" s="146" t="s">
        <v>682</v>
      </c>
      <c r="B33" s="133" t="s">
        <v>553</v>
      </c>
      <c r="C33" s="152" t="s">
        <v>558</v>
      </c>
      <c r="D33" s="135" t="s">
        <v>686</v>
      </c>
      <c r="E33" s="144">
        <v>11</v>
      </c>
      <c r="F33" s="72" t="s">
        <v>370</v>
      </c>
      <c r="G33" s="72" t="s">
        <v>72</v>
      </c>
      <c r="H33" s="110" t="s">
        <v>17</v>
      </c>
      <c r="I33" s="111" t="s">
        <v>371</v>
      </c>
      <c r="J33" s="140" t="str">
        <f>"112"</f>
        <v>112</v>
      </c>
    </row>
    <row r="34" spans="1:10" x14ac:dyDescent="0.2">
      <c r="A34" s="146"/>
      <c r="B34" s="133"/>
      <c r="C34" s="152"/>
      <c r="D34" s="136"/>
      <c r="E34" s="144"/>
      <c r="F34" s="75" t="s">
        <v>114</v>
      </c>
      <c r="G34" s="75" t="s">
        <v>115</v>
      </c>
      <c r="H34" s="110" t="s">
        <v>17</v>
      </c>
      <c r="I34" s="111" t="s">
        <v>116</v>
      </c>
      <c r="J34" s="141"/>
    </row>
    <row r="35" spans="1:10" x14ac:dyDescent="0.2">
      <c r="A35" s="146"/>
      <c r="B35" s="133"/>
      <c r="C35" s="152"/>
      <c r="D35" s="136"/>
      <c r="E35" s="144"/>
      <c r="F35" s="75" t="s">
        <v>15</v>
      </c>
      <c r="G35" s="75" t="s">
        <v>16</v>
      </c>
      <c r="H35" s="110" t="s">
        <v>17</v>
      </c>
      <c r="I35" s="111" t="s">
        <v>18</v>
      </c>
      <c r="J35" s="141"/>
    </row>
    <row r="36" spans="1:10" x14ac:dyDescent="0.2">
      <c r="A36" s="146" t="s">
        <v>682</v>
      </c>
      <c r="B36" s="133" t="s">
        <v>553</v>
      </c>
      <c r="C36" s="147" t="s">
        <v>684</v>
      </c>
      <c r="D36" s="135" t="s">
        <v>686</v>
      </c>
      <c r="E36" s="156">
        <v>1</v>
      </c>
      <c r="F36" s="164" t="s">
        <v>49</v>
      </c>
      <c r="G36" s="164" t="s">
        <v>50</v>
      </c>
      <c r="H36" s="94" t="s">
        <v>17</v>
      </c>
      <c r="I36" s="95" t="s">
        <v>51</v>
      </c>
      <c r="J36" s="140" t="str">
        <f>"131,5"</f>
        <v>131,5</v>
      </c>
    </row>
    <row r="37" spans="1:10" x14ac:dyDescent="0.2">
      <c r="A37" s="146"/>
      <c r="B37" s="133"/>
      <c r="C37" s="147"/>
      <c r="D37" s="136"/>
      <c r="E37" s="156"/>
      <c r="F37" s="75" t="s">
        <v>30</v>
      </c>
      <c r="G37" s="75" t="s">
        <v>31</v>
      </c>
      <c r="H37" s="110" t="s">
        <v>17</v>
      </c>
      <c r="I37" s="111" t="s">
        <v>32</v>
      </c>
      <c r="J37" s="141"/>
    </row>
    <row r="38" spans="1:10" x14ac:dyDescent="0.2">
      <c r="A38" s="146"/>
      <c r="B38" s="133"/>
      <c r="C38" s="147"/>
      <c r="D38" s="136"/>
      <c r="E38" s="156"/>
      <c r="F38" s="75" t="s">
        <v>137</v>
      </c>
      <c r="G38" s="75" t="s">
        <v>138</v>
      </c>
      <c r="H38" s="110" t="s">
        <v>17</v>
      </c>
      <c r="I38" s="111" t="s">
        <v>139</v>
      </c>
      <c r="J38" s="142"/>
    </row>
    <row r="39" spans="1:10" x14ac:dyDescent="0.2">
      <c r="A39" s="146" t="s">
        <v>682</v>
      </c>
      <c r="B39" s="133" t="s">
        <v>553</v>
      </c>
      <c r="C39" s="147" t="s">
        <v>684</v>
      </c>
      <c r="D39" s="135" t="s">
        <v>686</v>
      </c>
      <c r="E39" s="153">
        <v>2</v>
      </c>
      <c r="F39" s="75" t="s">
        <v>372</v>
      </c>
      <c r="G39" s="75" t="s">
        <v>373</v>
      </c>
      <c r="H39" s="110" t="s">
        <v>9</v>
      </c>
      <c r="I39" s="111" t="s">
        <v>374</v>
      </c>
      <c r="J39" s="140" t="str">
        <f>"124,25"</f>
        <v>124,25</v>
      </c>
    </row>
    <row r="40" spans="1:10" x14ac:dyDescent="0.2">
      <c r="A40" s="146"/>
      <c r="B40" s="133"/>
      <c r="C40" s="147"/>
      <c r="D40" s="136"/>
      <c r="E40" s="154"/>
      <c r="F40" s="75" t="s">
        <v>486</v>
      </c>
      <c r="G40" s="75" t="s">
        <v>482</v>
      </c>
      <c r="H40" s="110" t="s">
        <v>9</v>
      </c>
      <c r="I40" s="111" t="s">
        <v>487</v>
      </c>
      <c r="J40" s="141"/>
    </row>
    <row r="41" spans="1:10" x14ac:dyDescent="0.2">
      <c r="A41" s="146"/>
      <c r="B41" s="133"/>
      <c r="C41" s="147"/>
      <c r="D41" s="136"/>
      <c r="E41" s="155"/>
      <c r="F41" s="75" t="s">
        <v>156</v>
      </c>
      <c r="G41" s="75" t="s">
        <v>157</v>
      </c>
      <c r="H41" s="110" t="s">
        <v>17</v>
      </c>
      <c r="I41" s="111" t="s">
        <v>158</v>
      </c>
      <c r="J41" s="142"/>
    </row>
    <row r="42" spans="1:10" x14ac:dyDescent="0.2">
      <c r="A42" s="146" t="s">
        <v>682</v>
      </c>
      <c r="B42" s="133" t="s">
        <v>553</v>
      </c>
      <c r="C42" s="147" t="s">
        <v>684</v>
      </c>
      <c r="D42" s="135" t="s">
        <v>686</v>
      </c>
      <c r="E42" s="153">
        <v>3</v>
      </c>
      <c r="F42" s="72" t="s">
        <v>389</v>
      </c>
      <c r="G42" s="72" t="s">
        <v>72</v>
      </c>
      <c r="H42" s="110" t="s">
        <v>21</v>
      </c>
      <c r="I42" s="111" t="s">
        <v>390</v>
      </c>
      <c r="J42" s="140" t="str">
        <f>"105"</f>
        <v>105</v>
      </c>
    </row>
    <row r="43" spans="1:10" x14ac:dyDescent="0.2">
      <c r="A43" s="146"/>
      <c r="B43" s="133"/>
      <c r="C43" s="147"/>
      <c r="D43" s="136"/>
      <c r="E43" s="154"/>
      <c r="F43" s="72" t="s">
        <v>688</v>
      </c>
      <c r="G43" s="72" t="s">
        <v>689</v>
      </c>
      <c r="H43" s="110" t="s">
        <v>21</v>
      </c>
      <c r="I43" s="111" t="s">
        <v>690</v>
      </c>
      <c r="J43" s="141"/>
    </row>
    <row r="44" spans="1:10" x14ac:dyDescent="0.2">
      <c r="A44" s="146"/>
      <c r="B44" s="133"/>
      <c r="C44" s="147"/>
      <c r="D44" s="136"/>
      <c r="E44" s="155"/>
      <c r="F44" s="72" t="s">
        <v>691</v>
      </c>
      <c r="G44" s="72" t="s">
        <v>692</v>
      </c>
      <c r="H44" s="110" t="s">
        <v>21</v>
      </c>
      <c r="I44" s="111" t="s">
        <v>693</v>
      </c>
      <c r="J44" s="142"/>
    </row>
    <row r="45" spans="1:10" x14ac:dyDescent="0.2">
      <c r="A45" s="146" t="s">
        <v>682</v>
      </c>
      <c r="B45" s="133" t="s">
        <v>553</v>
      </c>
      <c r="C45" s="147" t="s">
        <v>684</v>
      </c>
      <c r="D45" s="135" t="s">
        <v>686</v>
      </c>
      <c r="E45" s="153">
        <v>4</v>
      </c>
      <c r="F45" s="75" t="s">
        <v>351</v>
      </c>
      <c r="G45" s="75" t="s">
        <v>352</v>
      </c>
      <c r="H45" s="110" t="s">
        <v>9</v>
      </c>
      <c r="I45" s="111" t="s">
        <v>353</v>
      </c>
      <c r="J45" s="140" t="str">
        <f>"103,5"</f>
        <v>103,5</v>
      </c>
    </row>
    <row r="46" spans="1:10" x14ac:dyDescent="0.2">
      <c r="A46" s="146"/>
      <c r="B46" s="133"/>
      <c r="C46" s="147"/>
      <c r="D46" s="136"/>
      <c r="E46" s="154"/>
      <c r="F46" s="75" t="s">
        <v>162</v>
      </c>
      <c r="G46" s="75" t="s">
        <v>163</v>
      </c>
      <c r="H46" s="110" t="s">
        <v>9</v>
      </c>
      <c r="I46" s="111" t="s">
        <v>164</v>
      </c>
      <c r="J46" s="141"/>
    </row>
    <row r="47" spans="1:10" x14ac:dyDescent="0.2">
      <c r="A47" s="146"/>
      <c r="B47" s="133"/>
      <c r="C47" s="147"/>
      <c r="D47" s="136"/>
      <c r="E47" s="155"/>
      <c r="F47" s="75" t="s">
        <v>281</v>
      </c>
      <c r="G47" s="75" t="s">
        <v>282</v>
      </c>
      <c r="H47" s="110" t="s">
        <v>9</v>
      </c>
      <c r="I47" s="111" t="s">
        <v>283</v>
      </c>
      <c r="J47" s="142"/>
    </row>
    <row r="48" spans="1:10" x14ac:dyDescent="0.2">
      <c r="A48" s="146" t="s">
        <v>682</v>
      </c>
      <c r="B48" s="133" t="s">
        <v>553</v>
      </c>
      <c r="C48" s="147" t="s">
        <v>684</v>
      </c>
      <c r="D48" s="135" t="s">
        <v>686</v>
      </c>
      <c r="E48" s="153">
        <v>5</v>
      </c>
      <c r="F48" s="72" t="s">
        <v>365</v>
      </c>
      <c r="G48" s="72" t="s">
        <v>366</v>
      </c>
      <c r="H48" s="110" t="s">
        <v>25</v>
      </c>
      <c r="I48" s="111" t="s">
        <v>361</v>
      </c>
      <c r="J48" s="140" t="str">
        <f>"61,5"</f>
        <v>61,5</v>
      </c>
    </row>
    <row r="49" spans="1:10" x14ac:dyDescent="0.2">
      <c r="A49" s="146"/>
      <c r="B49" s="133"/>
      <c r="C49" s="147"/>
      <c r="D49" s="136"/>
      <c r="E49" s="154"/>
      <c r="F49" s="75" t="s">
        <v>291</v>
      </c>
      <c r="G49" s="75" t="s">
        <v>292</v>
      </c>
      <c r="H49" s="110" t="s">
        <v>25</v>
      </c>
      <c r="I49" s="111" t="s">
        <v>293</v>
      </c>
      <c r="J49" s="142"/>
    </row>
    <row r="50" spans="1:10" x14ac:dyDescent="0.2">
      <c r="A50" s="146"/>
      <c r="B50" s="133"/>
      <c r="C50" s="147"/>
      <c r="D50" s="136"/>
      <c r="E50" s="155"/>
      <c r="F50" s="12"/>
      <c r="G50" s="12"/>
      <c r="H50" s="12"/>
      <c r="I50" s="12"/>
      <c r="J50" s="165"/>
    </row>
    <row r="51" spans="1:10" x14ac:dyDescent="0.2">
      <c r="J51" s="49"/>
    </row>
    <row r="52" spans="1:10" x14ac:dyDescent="0.2">
      <c r="J52" s="49"/>
    </row>
  </sheetData>
  <mergeCells count="97">
    <mergeCell ref="A33:A35"/>
    <mergeCell ref="B33:B35"/>
    <mergeCell ref="C33:C35"/>
    <mergeCell ref="D33:D35"/>
    <mergeCell ref="E33:E35"/>
    <mergeCell ref="E3:E5"/>
    <mergeCell ref="C3:C5"/>
    <mergeCell ref="A3:A5"/>
    <mergeCell ref="B3:B5"/>
    <mergeCell ref="D3:D5"/>
    <mergeCell ref="A36:A38"/>
    <mergeCell ref="B36:B38"/>
    <mergeCell ref="C36:C38"/>
    <mergeCell ref="D36:D38"/>
    <mergeCell ref="E36:E38"/>
    <mergeCell ref="J6:J8"/>
    <mergeCell ref="A9:A11"/>
    <mergeCell ref="B9:B11"/>
    <mergeCell ref="C9:C11"/>
    <mergeCell ref="D9:D11"/>
    <mergeCell ref="E9:E11"/>
    <mergeCell ref="J9:J11"/>
    <mergeCell ref="A6:A8"/>
    <mergeCell ref="B6:B8"/>
    <mergeCell ref="C6:C8"/>
    <mergeCell ref="D6:D8"/>
    <mergeCell ref="E6:E8"/>
    <mergeCell ref="J12:J14"/>
    <mergeCell ref="A15:A17"/>
    <mergeCell ref="B15:B17"/>
    <mergeCell ref="C15:C17"/>
    <mergeCell ref="D15:D17"/>
    <mergeCell ref="E15:E17"/>
    <mergeCell ref="J15:J17"/>
    <mergeCell ref="A12:A14"/>
    <mergeCell ref="B12:B14"/>
    <mergeCell ref="C12:C14"/>
    <mergeCell ref="D12:D14"/>
    <mergeCell ref="E12:E14"/>
    <mergeCell ref="J18:J20"/>
    <mergeCell ref="A21:A23"/>
    <mergeCell ref="B21:B23"/>
    <mergeCell ref="C21:C23"/>
    <mergeCell ref="D21:D23"/>
    <mergeCell ref="E21:E23"/>
    <mergeCell ref="J21:J23"/>
    <mergeCell ref="A18:A20"/>
    <mergeCell ref="B18:B20"/>
    <mergeCell ref="C18:C20"/>
    <mergeCell ref="D18:D20"/>
    <mergeCell ref="E18:E20"/>
    <mergeCell ref="J27:J29"/>
    <mergeCell ref="A24:A26"/>
    <mergeCell ref="B24:B26"/>
    <mergeCell ref="C24:C26"/>
    <mergeCell ref="D24:D26"/>
    <mergeCell ref="E24:E26"/>
    <mergeCell ref="A27:A29"/>
    <mergeCell ref="B27:B29"/>
    <mergeCell ref="C27:C29"/>
    <mergeCell ref="D27:D29"/>
    <mergeCell ref="E27:E29"/>
    <mergeCell ref="J33:J35"/>
    <mergeCell ref="A1:J1"/>
    <mergeCell ref="A39:A41"/>
    <mergeCell ref="B39:B41"/>
    <mergeCell ref="C39:C41"/>
    <mergeCell ref="D39:D41"/>
    <mergeCell ref="E39:E41"/>
    <mergeCell ref="J36:J38"/>
    <mergeCell ref="J3:J5"/>
    <mergeCell ref="A30:A32"/>
    <mergeCell ref="B30:B32"/>
    <mergeCell ref="C30:C32"/>
    <mergeCell ref="D30:D32"/>
    <mergeCell ref="E30:E32"/>
    <mergeCell ref="J30:J32"/>
    <mergeCell ref="J24:J26"/>
    <mergeCell ref="J39:J41"/>
    <mergeCell ref="A45:A47"/>
    <mergeCell ref="B45:B47"/>
    <mergeCell ref="C45:C47"/>
    <mergeCell ref="D45:D47"/>
    <mergeCell ref="E45:E47"/>
    <mergeCell ref="J42:J44"/>
    <mergeCell ref="A42:A44"/>
    <mergeCell ref="B42:B44"/>
    <mergeCell ref="C42:C44"/>
    <mergeCell ref="D42:D44"/>
    <mergeCell ref="E42:E44"/>
    <mergeCell ref="J45:J47"/>
    <mergeCell ref="A48:A50"/>
    <mergeCell ref="B48:B50"/>
    <mergeCell ref="C48:C50"/>
    <mergeCell ref="D48:D50"/>
    <mergeCell ref="E48:E50"/>
    <mergeCell ref="J48:J49"/>
  </mergeCells>
  <pageMargins left="0.39370078740157483" right="0.51181102362204722" top="0.11811023622047245" bottom="0.11811023622047245" header="0.11811023622047245" footer="0.11811023622047245"/>
  <pageSetup paperSize="9" orientation="landscape" horizontalDpi="200" verticalDpi="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E29" sqref="E29"/>
    </sheetView>
  </sheetViews>
  <sheetFormatPr baseColWidth="10" defaultColWidth="11.42578125" defaultRowHeight="12.75" x14ac:dyDescent="0.2"/>
  <sheetData>
    <row r="1" spans="1:1" x14ac:dyDescent="0.2">
      <c r="A1" t="s">
        <v>687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topLeftCell="B1" workbookViewId="0"/>
  </sheetViews>
  <sheetFormatPr baseColWidth="10" defaultColWidth="11.42578125" defaultRowHeight="12.75" x14ac:dyDescent="0.2"/>
  <cols>
    <col min="1" max="1" width="0" hidden="1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topLeftCell="B1" workbookViewId="0"/>
  </sheetViews>
  <sheetFormatPr baseColWidth="10" defaultColWidth="11.42578125" defaultRowHeight="12.75" x14ac:dyDescent="0.2"/>
  <cols>
    <col min="1" max="1" width="0" hidden="1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topLeftCell="B1" workbookViewId="0"/>
  </sheetViews>
  <sheetFormatPr baseColWidth="10" defaultColWidth="11.42578125" defaultRowHeight="12.75" x14ac:dyDescent="0.2"/>
  <cols>
    <col min="1" max="1" width="0" hidden="1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5" sqref="D25"/>
    </sheetView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topLeftCell="B1" workbookViewId="0"/>
  </sheetViews>
  <sheetFormatPr baseColWidth="10" defaultColWidth="11.42578125" defaultRowHeight="12.75" x14ac:dyDescent="0.2"/>
  <cols>
    <col min="1" max="1" width="0" hidden="1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IV65536"/>
    </sheetView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118"/>
  <sheetViews>
    <sheetView tabSelected="1" zoomScale="115" zoomScaleNormal="115" workbookViewId="0">
      <pane ySplit="3" topLeftCell="A4" activePane="bottomLeft" state="frozen"/>
      <selection activeCell="C1" sqref="C1"/>
      <selection pane="bottomLeft" activeCell="K19" sqref="K19"/>
    </sheetView>
  </sheetViews>
  <sheetFormatPr baseColWidth="10" defaultColWidth="25.140625" defaultRowHeight="12.75" x14ac:dyDescent="0.2"/>
  <cols>
    <col min="1" max="1" width="26.28515625" style="32" customWidth="1"/>
    <col min="2" max="2" width="12.42578125" style="32" customWidth="1"/>
    <col min="3" max="3" width="30.7109375" style="32" customWidth="1"/>
    <col min="4" max="4" width="13.85546875" style="32" customWidth="1"/>
    <col min="5" max="5" width="4.42578125" style="32" bestFit="1" customWidth="1"/>
    <col min="6" max="6" width="3.85546875" style="32" bestFit="1" customWidth="1"/>
    <col min="7" max="7" width="3.5703125" style="32" bestFit="1" customWidth="1"/>
    <col min="8" max="8" width="3.5703125" style="33" bestFit="1" customWidth="1"/>
    <col min="9" max="9" width="4.42578125" style="33" customWidth="1"/>
    <col min="10" max="11" width="4.42578125" style="44" bestFit="1" customWidth="1"/>
    <col min="12" max="12" width="5.140625" style="33" customWidth="1"/>
    <col min="13" max="13" width="4" style="40" bestFit="1" customWidth="1"/>
    <col min="14" max="14" width="18.7109375" style="32" bestFit="1" customWidth="1"/>
    <col min="15" max="15" width="10.5703125" style="32" bestFit="1" customWidth="1"/>
    <col min="16" max="16" width="27.28515625" style="114" customWidth="1"/>
    <col min="17" max="17" width="12.140625" style="32" bestFit="1" customWidth="1"/>
    <col min="18" max="18" width="4.42578125" style="32" bestFit="1" customWidth="1"/>
    <col min="19" max="19" width="3.85546875" style="32" bestFit="1" customWidth="1"/>
    <col min="20" max="21" width="3.5703125" style="33" bestFit="1" customWidth="1"/>
    <col min="22" max="22" width="5.28515625" style="33" bestFit="1" customWidth="1"/>
    <col min="23" max="24" width="4.42578125" style="44" bestFit="1" customWidth="1"/>
    <col min="25" max="25" width="6" style="33" bestFit="1" customWidth="1"/>
    <col min="26" max="16384" width="25.140625" style="32"/>
  </cols>
  <sheetData>
    <row r="1" spans="1:25" x14ac:dyDescent="0.2">
      <c r="J1" s="51" t="s">
        <v>0</v>
      </c>
      <c r="K1" s="51" t="s">
        <v>0</v>
      </c>
      <c r="W1" s="57" t="s">
        <v>0</v>
      </c>
      <c r="X1" s="57" t="s">
        <v>0</v>
      </c>
    </row>
    <row r="2" spans="1:25" x14ac:dyDescent="0.2">
      <c r="E2" s="54" t="s">
        <v>1</v>
      </c>
      <c r="F2" s="54" t="s">
        <v>2</v>
      </c>
      <c r="G2" s="54" t="s">
        <v>3</v>
      </c>
      <c r="H2" s="104" t="s">
        <v>4</v>
      </c>
      <c r="I2" s="104" t="s">
        <v>5</v>
      </c>
      <c r="J2" s="51" t="s">
        <v>1</v>
      </c>
      <c r="K2" s="51" t="s">
        <v>2</v>
      </c>
      <c r="L2" s="128" t="s">
        <v>6</v>
      </c>
      <c r="R2" s="58" t="s">
        <v>1</v>
      </c>
      <c r="S2" s="58" t="s">
        <v>2</v>
      </c>
      <c r="T2" s="61" t="s">
        <v>3</v>
      </c>
      <c r="U2" s="61" t="s">
        <v>4</v>
      </c>
      <c r="V2" s="61" t="s">
        <v>5</v>
      </c>
      <c r="W2" s="57" t="s">
        <v>1</v>
      </c>
      <c r="X2" s="57" t="s">
        <v>2</v>
      </c>
      <c r="Y2" s="128" t="s">
        <v>6</v>
      </c>
    </row>
    <row r="3" spans="1:25" s="34" customFormat="1" x14ac:dyDescent="0.2">
      <c r="E3" s="55">
        <f>SUM(E4:E230)</f>
        <v>74</v>
      </c>
      <c r="F3" s="55">
        <f>SUM(F4:F230)</f>
        <v>78</v>
      </c>
      <c r="G3" s="55">
        <f>SUM(G4:G230)</f>
        <v>32</v>
      </c>
      <c r="H3" s="55">
        <f>SUM(H4:H230)</f>
        <v>41</v>
      </c>
      <c r="I3" s="55">
        <f>SUM(I4:I230)</f>
        <v>28</v>
      </c>
      <c r="J3" s="50">
        <f>SUM(J4:J65)</f>
        <v>0</v>
      </c>
      <c r="K3" s="50">
        <f>SUM(K4:K65)</f>
        <v>0</v>
      </c>
      <c r="L3" s="128"/>
      <c r="P3" s="44"/>
      <c r="R3" s="59">
        <f>SUM(R4:R99)</f>
        <v>45</v>
      </c>
      <c r="S3" s="59">
        <f>SUM(S4:S99)</f>
        <v>51</v>
      </c>
      <c r="T3" s="59">
        <f>SUM(T4:T99)</f>
        <v>24</v>
      </c>
      <c r="U3" s="59">
        <f>SUM(U4:U99)</f>
        <v>20</v>
      </c>
      <c r="V3" s="59">
        <f>SUM(V4:V99)</f>
        <v>19</v>
      </c>
      <c r="W3" s="48">
        <f>SUM(W4:W70)</f>
        <v>0</v>
      </c>
      <c r="X3" s="48">
        <f>SUM(X4:X70)</f>
        <v>0</v>
      </c>
      <c r="Y3" s="128"/>
    </row>
    <row r="4" spans="1:25" x14ac:dyDescent="0.2">
      <c r="A4" s="75" t="s">
        <v>86</v>
      </c>
      <c r="B4" s="75" t="s">
        <v>87</v>
      </c>
      <c r="C4" s="73" t="s">
        <v>25</v>
      </c>
      <c r="D4" s="74" t="s">
        <v>88</v>
      </c>
      <c r="E4" s="56">
        <v>1</v>
      </c>
      <c r="F4" s="56">
        <v>1</v>
      </c>
      <c r="G4" s="88"/>
      <c r="H4" s="87">
        <v>1</v>
      </c>
      <c r="I4" s="87"/>
      <c r="J4" s="50"/>
      <c r="K4" s="50"/>
      <c r="L4" s="97">
        <f t="shared" ref="L4:L29" si="0">SUM(E4:K4)</f>
        <v>3</v>
      </c>
      <c r="M4" s="41">
        <v>1</v>
      </c>
      <c r="N4" s="72" t="s">
        <v>11</v>
      </c>
      <c r="O4" s="72" t="s">
        <v>12</v>
      </c>
      <c r="P4" s="73" t="s">
        <v>13</v>
      </c>
      <c r="Q4" s="74" t="s">
        <v>14</v>
      </c>
      <c r="R4" s="60">
        <v>1</v>
      </c>
      <c r="S4" s="60">
        <v>1</v>
      </c>
      <c r="T4" s="61">
        <v>1</v>
      </c>
      <c r="U4" s="61">
        <v>1</v>
      </c>
      <c r="V4" s="61"/>
      <c r="W4" s="48"/>
      <c r="X4" s="48"/>
      <c r="Y4" s="97">
        <f>SUM(R4:X4)</f>
        <v>4</v>
      </c>
    </row>
    <row r="5" spans="1:25" x14ac:dyDescent="0.2">
      <c r="A5" s="75" t="s">
        <v>90</v>
      </c>
      <c r="B5" s="75" t="s">
        <v>91</v>
      </c>
      <c r="C5" s="73" t="s">
        <v>17</v>
      </c>
      <c r="D5" s="74" t="s">
        <v>92</v>
      </c>
      <c r="E5" s="56"/>
      <c r="F5" s="56">
        <v>1</v>
      </c>
      <c r="G5" s="88">
        <v>1</v>
      </c>
      <c r="H5" s="87">
        <v>1</v>
      </c>
      <c r="I5" s="87">
        <v>1</v>
      </c>
      <c r="J5" s="50"/>
      <c r="K5" s="50"/>
      <c r="L5" s="97">
        <f t="shared" si="0"/>
        <v>4</v>
      </c>
      <c r="M5" s="41">
        <v>2</v>
      </c>
      <c r="N5" s="72" t="s">
        <v>19</v>
      </c>
      <c r="O5" s="72" t="s">
        <v>20</v>
      </c>
      <c r="P5" s="73" t="s">
        <v>21</v>
      </c>
      <c r="Q5" s="74" t="s">
        <v>22</v>
      </c>
      <c r="R5" s="60"/>
      <c r="S5" s="60"/>
      <c r="T5" s="61">
        <v>1</v>
      </c>
      <c r="U5" s="61"/>
      <c r="V5" s="61"/>
      <c r="W5" s="48"/>
      <c r="X5" s="48"/>
      <c r="Y5" s="97">
        <f>SUM(R5:X5)</f>
        <v>1</v>
      </c>
    </row>
    <row r="6" spans="1:25" x14ac:dyDescent="0.2">
      <c r="A6" s="75" t="s">
        <v>156</v>
      </c>
      <c r="B6" s="75" t="s">
        <v>157</v>
      </c>
      <c r="C6" s="73" t="s">
        <v>17</v>
      </c>
      <c r="D6" s="74" t="s">
        <v>158</v>
      </c>
      <c r="E6" s="56"/>
      <c r="F6" s="56">
        <v>1</v>
      </c>
      <c r="G6" s="87"/>
      <c r="H6" s="87">
        <v>1</v>
      </c>
      <c r="I6" s="87">
        <v>1</v>
      </c>
      <c r="J6" s="50"/>
      <c r="K6" s="50"/>
      <c r="L6" s="97">
        <f t="shared" si="0"/>
        <v>3</v>
      </c>
      <c r="M6" s="41">
        <v>3</v>
      </c>
      <c r="N6" s="72" t="s">
        <v>27</v>
      </c>
      <c r="O6" s="72" t="s">
        <v>28</v>
      </c>
      <c r="P6" s="73" t="s">
        <v>25</v>
      </c>
      <c r="Q6" s="74" t="s">
        <v>29</v>
      </c>
      <c r="R6" s="60">
        <v>1</v>
      </c>
      <c r="S6" s="60"/>
      <c r="T6" s="61"/>
      <c r="U6" s="61"/>
      <c r="V6" s="61"/>
      <c r="W6" s="48"/>
      <c r="X6" s="48"/>
      <c r="Y6" s="97">
        <f>SUM(R6:X6)</f>
        <v>1</v>
      </c>
    </row>
    <row r="7" spans="1:25" x14ac:dyDescent="0.2">
      <c r="A7" s="75" t="s">
        <v>414</v>
      </c>
      <c r="B7" s="75" t="s">
        <v>415</v>
      </c>
      <c r="C7" s="73" t="s">
        <v>25</v>
      </c>
      <c r="D7" s="74" t="s">
        <v>416</v>
      </c>
      <c r="E7" s="56">
        <v>1</v>
      </c>
      <c r="F7" s="56"/>
      <c r="G7" s="88"/>
      <c r="H7" s="87"/>
      <c r="I7" s="87"/>
      <c r="J7" s="50"/>
      <c r="K7" s="50"/>
      <c r="L7" s="97">
        <f t="shared" si="0"/>
        <v>1</v>
      </c>
      <c r="M7" s="41">
        <v>4</v>
      </c>
      <c r="N7" s="72" t="s">
        <v>33</v>
      </c>
      <c r="O7" s="72" t="s">
        <v>34</v>
      </c>
      <c r="P7" s="73" t="s">
        <v>25</v>
      </c>
      <c r="Q7" s="74" t="s">
        <v>35</v>
      </c>
      <c r="R7" s="60">
        <v>1</v>
      </c>
      <c r="S7" s="60"/>
      <c r="T7" s="61"/>
      <c r="U7" s="61"/>
      <c r="V7" s="91"/>
      <c r="W7" s="48"/>
      <c r="X7" s="48"/>
      <c r="Y7" s="97">
        <f>SUM(R7:X7)</f>
        <v>1</v>
      </c>
    </row>
    <row r="8" spans="1:25" x14ac:dyDescent="0.2">
      <c r="A8" s="75" t="s">
        <v>417</v>
      </c>
      <c r="B8" s="75" t="s">
        <v>418</v>
      </c>
      <c r="C8" s="73" t="s">
        <v>54</v>
      </c>
      <c r="D8" s="74" t="s">
        <v>419</v>
      </c>
      <c r="E8" s="56"/>
      <c r="F8" s="56">
        <v>1</v>
      </c>
      <c r="G8" s="87"/>
      <c r="H8" s="87"/>
      <c r="I8" s="87"/>
      <c r="J8" s="50"/>
      <c r="K8" s="50"/>
      <c r="L8" s="97">
        <f t="shared" si="0"/>
        <v>1</v>
      </c>
      <c r="M8" s="41">
        <v>5</v>
      </c>
      <c r="N8" s="72" t="s">
        <v>39</v>
      </c>
      <c r="O8" s="72" t="s">
        <v>40</v>
      </c>
      <c r="P8" s="73" t="s">
        <v>41</v>
      </c>
      <c r="Q8" s="74" t="s">
        <v>42</v>
      </c>
      <c r="R8" s="60">
        <v>1</v>
      </c>
      <c r="S8" s="60">
        <v>1</v>
      </c>
      <c r="T8" s="91"/>
      <c r="U8" s="61"/>
      <c r="V8" s="91"/>
      <c r="W8" s="57"/>
      <c r="X8" s="48"/>
      <c r="Y8" s="97">
        <f>SUM(R8:X8)</f>
        <v>2</v>
      </c>
    </row>
    <row r="9" spans="1:25" x14ac:dyDescent="0.2">
      <c r="A9" s="75" t="s">
        <v>420</v>
      </c>
      <c r="B9" s="75" t="s">
        <v>421</v>
      </c>
      <c r="C9" s="73" t="s">
        <v>25</v>
      </c>
      <c r="D9" s="74" t="s">
        <v>422</v>
      </c>
      <c r="E9" s="56">
        <v>1</v>
      </c>
      <c r="F9" s="56"/>
      <c r="G9" s="88"/>
      <c r="H9" s="87"/>
      <c r="I9" s="89"/>
      <c r="J9" s="52"/>
      <c r="K9" s="52"/>
      <c r="L9" s="97">
        <f t="shared" si="0"/>
        <v>1</v>
      </c>
      <c r="M9" s="41">
        <v>6</v>
      </c>
      <c r="N9" s="72" t="s">
        <v>46</v>
      </c>
      <c r="O9" s="72" t="s">
        <v>47</v>
      </c>
      <c r="P9" s="73" t="s">
        <v>25</v>
      </c>
      <c r="Q9" s="74" t="s">
        <v>48</v>
      </c>
      <c r="R9" s="60">
        <v>1</v>
      </c>
      <c r="S9" s="60">
        <v>1</v>
      </c>
      <c r="T9" s="91"/>
      <c r="U9" s="61">
        <v>1</v>
      </c>
      <c r="V9" s="61">
        <v>1</v>
      </c>
      <c r="W9" s="48"/>
      <c r="X9" s="48"/>
      <c r="Y9" s="97">
        <f>SUM(R9:X9)</f>
        <v>4</v>
      </c>
    </row>
    <row r="10" spans="1:25" x14ac:dyDescent="0.2">
      <c r="A10" s="75" t="s">
        <v>423</v>
      </c>
      <c r="B10" s="75" t="s">
        <v>180</v>
      </c>
      <c r="C10" s="73" t="s">
        <v>424</v>
      </c>
      <c r="D10" s="74" t="s">
        <v>425</v>
      </c>
      <c r="E10" s="56">
        <v>1</v>
      </c>
      <c r="F10" s="56"/>
      <c r="G10" s="56"/>
      <c r="H10" s="105"/>
      <c r="I10" s="105"/>
      <c r="J10" s="52"/>
      <c r="K10" s="52"/>
      <c r="L10" s="97">
        <f t="shared" si="0"/>
        <v>1</v>
      </c>
      <c r="M10" s="41">
        <v>7</v>
      </c>
      <c r="N10" s="72" t="s">
        <v>52</v>
      </c>
      <c r="O10" s="72" t="s">
        <v>53</v>
      </c>
      <c r="P10" s="73" t="s">
        <v>54</v>
      </c>
      <c r="Q10" s="74" t="s">
        <v>55</v>
      </c>
      <c r="R10" s="60"/>
      <c r="S10" s="60">
        <v>1</v>
      </c>
      <c r="T10" s="61"/>
      <c r="U10" s="100"/>
      <c r="V10" s="61"/>
      <c r="W10" s="48"/>
      <c r="X10" s="48"/>
      <c r="Y10" s="97">
        <f>SUM(R10:X10)</f>
        <v>1</v>
      </c>
    </row>
    <row r="11" spans="1:25" x14ac:dyDescent="0.2">
      <c r="A11" s="75" t="s">
        <v>426</v>
      </c>
      <c r="B11" s="75" t="s">
        <v>427</v>
      </c>
      <c r="C11" s="73" t="s">
        <v>54</v>
      </c>
      <c r="D11" s="74" t="s">
        <v>428</v>
      </c>
      <c r="E11" s="56">
        <v>1</v>
      </c>
      <c r="F11" s="56"/>
      <c r="G11" s="56"/>
      <c r="H11" s="105"/>
      <c r="I11" s="105"/>
      <c r="J11" s="50"/>
      <c r="K11" s="50"/>
      <c r="L11" s="97">
        <f t="shared" si="0"/>
        <v>1</v>
      </c>
      <c r="M11" s="41">
        <v>8</v>
      </c>
      <c r="N11" s="72" t="s">
        <v>59</v>
      </c>
      <c r="O11" s="72" t="s">
        <v>60</v>
      </c>
      <c r="P11" s="73" t="s">
        <v>25</v>
      </c>
      <c r="Q11" s="74" t="s">
        <v>61</v>
      </c>
      <c r="R11" s="60"/>
      <c r="S11" s="60">
        <v>1</v>
      </c>
      <c r="T11" s="61"/>
      <c r="U11" s="100"/>
      <c r="V11" s="61"/>
      <c r="W11" s="48"/>
      <c r="X11" s="48"/>
      <c r="Y11" s="97">
        <f>SUM(R11:X11)</f>
        <v>1</v>
      </c>
    </row>
    <row r="12" spans="1:25" x14ac:dyDescent="0.2">
      <c r="A12" s="75" t="s">
        <v>162</v>
      </c>
      <c r="B12" s="75" t="s">
        <v>163</v>
      </c>
      <c r="C12" s="73" t="s">
        <v>9</v>
      </c>
      <c r="D12" s="74" t="s">
        <v>164</v>
      </c>
      <c r="E12" s="56"/>
      <c r="F12" s="56">
        <v>1</v>
      </c>
      <c r="G12" s="87"/>
      <c r="H12" s="87">
        <v>1</v>
      </c>
      <c r="I12" s="87">
        <v>1</v>
      </c>
      <c r="J12" s="50"/>
      <c r="K12" s="50"/>
      <c r="L12" s="97">
        <f t="shared" si="0"/>
        <v>3</v>
      </c>
      <c r="M12" s="41">
        <v>9</v>
      </c>
      <c r="N12" s="72" t="s">
        <v>65</v>
      </c>
      <c r="O12" s="72" t="s">
        <v>66</v>
      </c>
      <c r="P12" s="73" t="s">
        <v>25</v>
      </c>
      <c r="Q12" s="74" t="s">
        <v>67</v>
      </c>
      <c r="R12" s="60">
        <v>1</v>
      </c>
      <c r="S12" s="60">
        <v>1</v>
      </c>
      <c r="T12" s="61">
        <v>1</v>
      </c>
      <c r="U12" s="61">
        <v>1</v>
      </c>
      <c r="V12" s="61"/>
      <c r="W12" s="48"/>
      <c r="X12" s="48"/>
      <c r="Y12" s="97">
        <f>SUM(R12:X12)</f>
        <v>4</v>
      </c>
    </row>
    <row r="13" spans="1:25" x14ac:dyDescent="0.2">
      <c r="A13" s="75" t="s">
        <v>429</v>
      </c>
      <c r="B13" s="75" t="s">
        <v>180</v>
      </c>
      <c r="C13" s="73" t="s">
        <v>9</v>
      </c>
      <c r="D13" s="74" t="s">
        <v>430</v>
      </c>
      <c r="E13" s="56">
        <v>1</v>
      </c>
      <c r="F13" s="56"/>
      <c r="G13" s="56"/>
      <c r="H13" s="105"/>
      <c r="I13" s="105"/>
      <c r="J13" s="50"/>
      <c r="K13" s="50"/>
      <c r="L13" s="97">
        <f t="shared" si="0"/>
        <v>1</v>
      </c>
      <c r="M13" s="41">
        <v>10</v>
      </c>
      <c r="N13" s="72" t="s">
        <v>71</v>
      </c>
      <c r="O13" s="72" t="s">
        <v>72</v>
      </c>
      <c r="P13" s="73" t="s">
        <v>25</v>
      </c>
      <c r="Q13" s="74" t="s">
        <v>73</v>
      </c>
      <c r="R13" s="60">
        <v>1</v>
      </c>
      <c r="S13" s="60"/>
      <c r="T13" s="61"/>
      <c r="U13" s="61">
        <v>1</v>
      </c>
      <c r="V13" s="61"/>
      <c r="W13" s="57"/>
      <c r="X13" s="48"/>
      <c r="Y13" s="97">
        <f>SUM(R13:X13)</f>
        <v>2</v>
      </c>
    </row>
    <row r="14" spans="1:25" x14ac:dyDescent="0.2">
      <c r="A14" s="75" t="s">
        <v>59</v>
      </c>
      <c r="B14" s="75" t="s">
        <v>168</v>
      </c>
      <c r="C14" s="73" t="s">
        <v>25</v>
      </c>
      <c r="D14" s="74" t="s">
        <v>169</v>
      </c>
      <c r="E14" s="56">
        <v>1</v>
      </c>
      <c r="F14" s="56">
        <v>1</v>
      </c>
      <c r="G14" s="88"/>
      <c r="H14" s="87"/>
      <c r="I14" s="87"/>
      <c r="J14" s="50"/>
      <c r="K14" s="50"/>
      <c r="L14" s="97">
        <f t="shared" si="0"/>
        <v>2</v>
      </c>
      <c r="M14" s="41">
        <v>11</v>
      </c>
      <c r="N14" s="72" t="s">
        <v>77</v>
      </c>
      <c r="O14" s="72" t="s">
        <v>78</v>
      </c>
      <c r="P14" s="73" t="s">
        <v>54</v>
      </c>
      <c r="Q14" s="74" t="s">
        <v>79</v>
      </c>
      <c r="R14" s="60"/>
      <c r="S14" s="60">
        <v>1</v>
      </c>
      <c r="T14" s="61"/>
      <c r="U14" s="100"/>
      <c r="V14" s="61"/>
      <c r="W14" s="48"/>
      <c r="X14" s="48"/>
      <c r="Y14" s="97">
        <f>SUM(R14:X14)</f>
        <v>1</v>
      </c>
    </row>
    <row r="15" spans="1:25" x14ac:dyDescent="0.2">
      <c r="A15" s="75" t="s">
        <v>431</v>
      </c>
      <c r="B15" s="75" t="s">
        <v>103</v>
      </c>
      <c r="C15" s="73" t="s">
        <v>432</v>
      </c>
      <c r="D15" s="74" t="s">
        <v>433</v>
      </c>
      <c r="E15" s="56">
        <v>1</v>
      </c>
      <c r="F15" s="56"/>
      <c r="G15" s="88"/>
      <c r="H15" s="87"/>
      <c r="I15" s="87"/>
      <c r="J15" s="51"/>
      <c r="K15" s="51"/>
      <c r="L15" s="97">
        <f t="shared" si="0"/>
        <v>1</v>
      </c>
      <c r="M15" s="41">
        <v>12</v>
      </c>
      <c r="N15" s="72" t="s">
        <v>83</v>
      </c>
      <c r="O15" s="72" t="s">
        <v>84</v>
      </c>
      <c r="P15" s="73" t="s">
        <v>21</v>
      </c>
      <c r="Q15" s="74" t="s">
        <v>85</v>
      </c>
      <c r="R15" s="60">
        <v>1</v>
      </c>
      <c r="S15" s="60"/>
      <c r="T15" s="61">
        <v>1</v>
      </c>
      <c r="U15" s="61"/>
      <c r="V15" s="61"/>
      <c r="W15" s="48"/>
      <c r="X15" s="48"/>
      <c r="Y15" s="97">
        <f>SUM(R15:X15)</f>
        <v>2</v>
      </c>
    </row>
    <row r="16" spans="1:25" x14ac:dyDescent="0.2">
      <c r="A16" s="75" t="s">
        <v>434</v>
      </c>
      <c r="B16" s="75" t="s">
        <v>435</v>
      </c>
      <c r="C16" s="73" t="s">
        <v>54</v>
      </c>
      <c r="D16" s="74" t="s">
        <v>436</v>
      </c>
      <c r="E16" s="56"/>
      <c r="F16" s="56">
        <v>1</v>
      </c>
      <c r="G16" s="87"/>
      <c r="H16" s="87"/>
      <c r="I16" s="87"/>
      <c r="J16" s="51"/>
      <c r="K16" s="51"/>
      <c r="L16" s="97">
        <f t="shared" si="0"/>
        <v>1</v>
      </c>
      <c r="M16" s="41">
        <v>13</v>
      </c>
      <c r="N16" s="72" t="s">
        <v>83</v>
      </c>
      <c r="O16" s="72" t="s">
        <v>84</v>
      </c>
      <c r="P16" s="73" t="s">
        <v>21</v>
      </c>
      <c r="Q16" s="74" t="s">
        <v>89</v>
      </c>
      <c r="R16" s="60"/>
      <c r="S16" s="60">
        <v>1</v>
      </c>
      <c r="T16" s="61"/>
      <c r="U16" s="100"/>
      <c r="V16" s="61"/>
      <c r="W16" s="48"/>
      <c r="X16" s="48"/>
      <c r="Y16" s="97">
        <f>SUM(R16:X16)</f>
        <v>1</v>
      </c>
    </row>
    <row r="17" spans="1:25" x14ac:dyDescent="0.2">
      <c r="A17" s="75" t="s">
        <v>437</v>
      </c>
      <c r="B17" s="75" t="s">
        <v>438</v>
      </c>
      <c r="C17" s="73" t="s">
        <v>21</v>
      </c>
      <c r="D17" s="74" t="s">
        <v>439</v>
      </c>
      <c r="E17" s="56">
        <v>1</v>
      </c>
      <c r="F17" s="56"/>
      <c r="G17" s="88"/>
      <c r="H17" s="87"/>
      <c r="I17" s="87"/>
      <c r="J17" s="50"/>
      <c r="K17" s="50"/>
      <c r="L17" s="97">
        <f t="shared" si="0"/>
        <v>1</v>
      </c>
      <c r="M17" s="41">
        <v>14</v>
      </c>
      <c r="N17" s="72" t="s">
        <v>93</v>
      </c>
      <c r="O17" s="72" t="s">
        <v>94</v>
      </c>
      <c r="P17" s="73" t="s">
        <v>25</v>
      </c>
      <c r="Q17" s="74" t="s">
        <v>95</v>
      </c>
      <c r="R17" s="60">
        <v>1</v>
      </c>
      <c r="S17" s="60"/>
      <c r="T17" s="61"/>
      <c r="U17" s="91"/>
      <c r="V17" s="91">
        <v>1</v>
      </c>
      <c r="W17" s="48"/>
      <c r="X17" s="48"/>
      <c r="Y17" s="97">
        <f>SUM(R17:X17)</f>
        <v>2</v>
      </c>
    </row>
    <row r="18" spans="1:25" ht="13.5" customHeight="1" x14ac:dyDescent="0.2">
      <c r="A18" s="75" t="s">
        <v>440</v>
      </c>
      <c r="B18" s="75" t="s">
        <v>441</v>
      </c>
      <c r="C18" s="73" t="s">
        <v>154</v>
      </c>
      <c r="D18" s="74" t="s">
        <v>442</v>
      </c>
      <c r="E18" s="56"/>
      <c r="F18" s="56"/>
      <c r="G18" s="87"/>
      <c r="H18" s="87">
        <v>1</v>
      </c>
      <c r="I18" s="87"/>
      <c r="J18" s="50"/>
      <c r="K18" s="50"/>
      <c r="L18" s="97">
        <f t="shared" si="0"/>
        <v>1</v>
      </c>
      <c r="M18" s="41">
        <v>15</v>
      </c>
      <c r="N18" s="72" t="s">
        <v>99</v>
      </c>
      <c r="O18" s="72" t="s">
        <v>100</v>
      </c>
      <c r="P18" s="73" t="s">
        <v>54</v>
      </c>
      <c r="Q18" s="74" t="s">
        <v>101</v>
      </c>
      <c r="R18" s="60"/>
      <c r="S18" s="60">
        <v>1</v>
      </c>
      <c r="T18" s="61"/>
      <c r="U18" s="100"/>
      <c r="V18" s="61"/>
      <c r="W18" s="48"/>
      <c r="X18" s="48"/>
      <c r="Y18" s="97">
        <f>SUM(R18:X18)</f>
        <v>1</v>
      </c>
    </row>
    <row r="19" spans="1:25" x14ac:dyDescent="0.2">
      <c r="A19" s="75" t="s">
        <v>173</v>
      </c>
      <c r="B19" s="75" t="s">
        <v>174</v>
      </c>
      <c r="C19" s="73" t="s">
        <v>25</v>
      </c>
      <c r="D19" s="74" t="s">
        <v>175</v>
      </c>
      <c r="E19" s="56">
        <v>1</v>
      </c>
      <c r="F19" s="56">
        <v>1</v>
      </c>
      <c r="G19" s="88"/>
      <c r="H19" s="87"/>
      <c r="I19" s="87"/>
      <c r="J19" s="50"/>
      <c r="K19" s="50"/>
      <c r="L19" s="97">
        <f t="shared" si="0"/>
        <v>2</v>
      </c>
      <c r="M19" s="41">
        <v>16</v>
      </c>
      <c r="N19" s="72" t="s">
        <v>105</v>
      </c>
      <c r="O19" s="72" t="s">
        <v>106</v>
      </c>
      <c r="P19" s="73" t="s">
        <v>25</v>
      </c>
      <c r="Q19" s="74" t="s">
        <v>107</v>
      </c>
      <c r="R19" s="60">
        <v>1</v>
      </c>
      <c r="S19" s="60">
        <v>1</v>
      </c>
      <c r="T19" s="61"/>
      <c r="U19" s="61"/>
      <c r="V19" s="91"/>
      <c r="W19" s="48"/>
      <c r="X19" s="48"/>
      <c r="Y19" s="97">
        <f>SUM(R19:X19)</f>
        <v>2</v>
      </c>
    </row>
    <row r="20" spans="1:25" x14ac:dyDescent="0.2">
      <c r="A20" s="75" t="s">
        <v>443</v>
      </c>
      <c r="B20" s="75" t="s">
        <v>444</v>
      </c>
      <c r="C20" s="73" t="s">
        <v>54</v>
      </c>
      <c r="D20" s="74" t="s">
        <v>445</v>
      </c>
      <c r="E20" s="56"/>
      <c r="F20" s="56">
        <v>1</v>
      </c>
      <c r="G20" s="87"/>
      <c r="H20" s="87"/>
      <c r="I20" s="87"/>
      <c r="J20" s="50"/>
      <c r="K20" s="50"/>
      <c r="L20" s="97">
        <f t="shared" si="0"/>
        <v>1</v>
      </c>
      <c r="M20" s="41">
        <v>17</v>
      </c>
      <c r="N20" s="72" t="s">
        <v>111</v>
      </c>
      <c r="O20" s="72" t="s">
        <v>112</v>
      </c>
      <c r="P20" s="73" t="s">
        <v>25</v>
      </c>
      <c r="Q20" s="74" t="s">
        <v>113</v>
      </c>
      <c r="R20" s="60">
        <v>1</v>
      </c>
      <c r="S20" s="60">
        <v>1</v>
      </c>
      <c r="T20" s="61">
        <v>1</v>
      </c>
      <c r="U20" s="61">
        <v>1</v>
      </c>
      <c r="V20" s="61"/>
      <c r="W20" s="48"/>
      <c r="X20" s="48"/>
      <c r="Y20" s="97">
        <f>SUM(R20:X20)</f>
        <v>4</v>
      </c>
    </row>
    <row r="21" spans="1:25" x14ac:dyDescent="0.2">
      <c r="A21" s="75" t="s">
        <v>7</v>
      </c>
      <c r="B21" s="75" t="s">
        <v>8</v>
      </c>
      <c r="C21" s="73" t="s">
        <v>9</v>
      </c>
      <c r="D21" s="74" t="s">
        <v>10</v>
      </c>
      <c r="E21" s="56">
        <v>1</v>
      </c>
      <c r="F21" s="56">
        <v>1</v>
      </c>
      <c r="G21" s="87">
        <v>1</v>
      </c>
      <c r="H21" s="87">
        <v>1</v>
      </c>
      <c r="I21" s="87">
        <v>1</v>
      </c>
      <c r="J21" s="50"/>
      <c r="K21" s="50"/>
      <c r="L21" s="97">
        <f t="shared" si="0"/>
        <v>5</v>
      </c>
      <c r="M21" s="41">
        <v>18</v>
      </c>
      <c r="N21" s="72" t="s">
        <v>117</v>
      </c>
      <c r="O21" s="72" t="s">
        <v>118</v>
      </c>
      <c r="P21" s="73" t="s">
        <v>17</v>
      </c>
      <c r="Q21" s="74" t="s">
        <v>119</v>
      </c>
      <c r="R21" s="60">
        <v>1</v>
      </c>
      <c r="S21" s="60"/>
      <c r="T21" s="61">
        <v>1</v>
      </c>
      <c r="U21" s="61"/>
      <c r="V21" s="61"/>
      <c r="W21" s="48"/>
      <c r="X21" s="48"/>
      <c r="Y21" s="97">
        <f>SUM(R21:X21)</f>
        <v>2</v>
      </c>
    </row>
    <row r="22" spans="1:25" ht="12.75" customHeight="1" x14ac:dyDescent="0.2">
      <c r="A22" s="75" t="s">
        <v>15</v>
      </c>
      <c r="B22" s="75" t="s">
        <v>16</v>
      </c>
      <c r="C22" s="73" t="s">
        <v>17</v>
      </c>
      <c r="D22" s="74" t="s">
        <v>18</v>
      </c>
      <c r="E22" s="56">
        <v>1</v>
      </c>
      <c r="F22" s="56">
        <v>1</v>
      </c>
      <c r="G22" s="87">
        <v>1</v>
      </c>
      <c r="H22" s="87">
        <v>1</v>
      </c>
      <c r="I22" s="87">
        <v>1</v>
      </c>
      <c r="J22" s="52"/>
      <c r="K22" s="52"/>
      <c r="L22" s="97">
        <f t="shared" si="0"/>
        <v>5</v>
      </c>
      <c r="M22" s="41">
        <v>19</v>
      </c>
      <c r="N22" s="72" t="s">
        <v>123</v>
      </c>
      <c r="O22" s="72" t="s">
        <v>118</v>
      </c>
      <c r="P22" s="73" t="s">
        <v>25</v>
      </c>
      <c r="Q22" s="74" t="s">
        <v>124</v>
      </c>
      <c r="R22" s="60">
        <v>1</v>
      </c>
      <c r="S22" s="60">
        <v>1</v>
      </c>
      <c r="T22" s="61"/>
      <c r="U22" s="91"/>
      <c r="V22" s="91"/>
      <c r="W22" s="48"/>
      <c r="X22" s="48"/>
      <c r="Y22" s="97">
        <f>SUM(R22:X22)</f>
        <v>2</v>
      </c>
    </row>
    <row r="23" spans="1:25" x14ac:dyDescent="0.2">
      <c r="A23" s="75" t="s">
        <v>446</v>
      </c>
      <c r="B23" s="75" t="s">
        <v>447</v>
      </c>
      <c r="C23" s="73" t="s">
        <v>54</v>
      </c>
      <c r="D23" s="74" t="s">
        <v>448</v>
      </c>
      <c r="E23" s="56"/>
      <c r="F23" s="56">
        <v>1</v>
      </c>
      <c r="G23" s="87"/>
      <c r="H23" s="87"/>
      <c r="I23" s="87"/>
      <c r="J23" s="50"/>
      <c r="K23" s="50"/>
      <c r="L23" s="97">
        <f t="shared" si="0"/>
        <v>1</v>
      </c>
      <c r="M23" s="41">
        <v>20</v>
      </c>
      <c r="N23" s="72" t="s">
        <v>128</v>
      </c>
      <c r="O23" s="72" t="s">
        <v>129</v>
      </c>
      <c r="P23" s="73" t="s">
        <v>25</v>
      </c>
      <c r="Q23" s="74" t="s">
        <v>130</v>
      </c>
      <c r="R23" s="60">
        <v>1</v>
      </c>
      <c r="S23" s="60">
        <v>1</v>
      </c>
      <c r="T23" s="61">
        <v>1</v>
      </c>
      <c r="U23" s="91"/>
      <c r="V23" s="61">
        <v>1</v>
      </c>
      <c r="W23" s="48"/>
      <c r="X23" s="48"/>
      <c r="Y23" s="97">
        <f>SUM(R23:X23)</f>
        <v>4</v>
      </c>
    </row>
    <row r="24" spans="1:25" x14ac:dyDescent="0.2">
      <c r="A24" s="75" t="s">
        <v>179</v>
      </c>
      <c r="B24" s="75" t="s">
        <v>180</v>
      </c>
      <c r="C24" s="73" t="s">
        <v>25</v>
      </c>
      <c r="D24" s="74" t="s">
        <v>181</v>
      </c>
      <c r="E24" s="56"/>
      <c r="F24" s="56">
        <v>1</v>
      </c>
      <c r="G24" s="87"/>
      <c r="H24" s="87">
        <v>1</v>
      </c>
      <c r="I24" s="87">
        <v>1</v>
      </c>
      <c r="J24" s="50"/>
      <c r="K24" s="50"/>
      <c r="L24" s="97">
        <f t="shared" si="0"/>
        <v>3</v>
      </c>
      <c r="M24" s="41">
        <v>21</v>
      </c>
      <c r="N24" s="72" t="s">
        <v>134</v>
      </c>
      <c r="O24" s="72" t="s">
        <v>135</v>
      </c>
      <c r="P24" s="73" t="s">
        <v>9</v>
      </c>
      <c r="Q24" s="74" t="s">
        <v>136</v>
      </c>
      <c r="R24" s="58"/>
      <c r="S24" s="60">
        <v>1</v>
      </c>
      <c r="T24" s="61">
        <v>1</v>
      </c>
      <c r="U24" s="61">
        <v>1</v>
      </c>
      <c r="V24" s="91">
        <v>1</v>
      </c>
      <c r="W24" s="48"/>
      <c r="X24" s="48"/>
      <c r="Y24" s="97">
        <f>SUM(R24:X24)</f>
        <v>4</v>
      </c>
    </row>
    <row r="25" spans="1:25" x14ac:dyDescent="0.2">
      <c r="A25" s="75" t="s">
        <v>185</v>
      </c>
      <c r="B25" s="75" t="s">
        <v>186</v>
      </c>
      <c r="C25" s="73" t="s">
        <v>54</v>
      </c>
      <c r="D25" s="74" t="s">
        <v>187</v>
      </c>
      <c r="E25" s="56">
        <v>1</v>
      </c>
      <c r="F25" s="56">
        <v>1</v>
      </c>
      <c r="G25" s="88"/>
      <c r="H25" s="89"/>
      <c r="I25" s="90"/>
      <c r="J25" s="50"/>
      <c r="K25" s="50"/>
      <c r="L25" s="97">
        <f t="shared" si="0"/>
        <v>2</v>
      </c>
      <c r="M25" s="41">
        <v>22</v>
      </c>
      <c r="N25" s="72" t="s">
        <v>140</v>
      </c>
      <c r="O25" s="72" t="s">
        <v>141</v>
      </c>
      <c r="P25" s="73" t="s">
        <v>25</v>
      </c>
      <c r="Q25" s="74" t="s">
        <v>142</v>
      </c>
      <c r="R25" s="60"/>
      <c r="S25" s="60">
        <v>1</v>
      </c>
      <c r="T25" s="61"/>
      <c r="U25" s="100"/>
      <c r="V25" s="61"/>
      <c r="W25" s="48"/>
      <c r="X25" s="48"/>
      <c r="Y25" s="97">
        <f>SUM(R25:X25)</f>
        <v>1</v>
      </c>
    </row>
    <row r="26" spans="1:25" x14ac:dyDescent="0.2">
      <c r="A26" s="75" t="s">
        <v>191</v>
      </c>
      <c r="B26" s="75" t="s">
        <v>192</v>
      </c>
      <c r="C26" s="73" t="s">
        <v>54</v>
      </c>
      <c r="D26" s="74" t="s">
        <v>193</v>
      </c>
      <c r="E26" s="56">
        <v>1</v>
      </c>
      <c r="F26" s="56">
        <v>1</v>
      </c>
      <c r="G26" s="88"/>
      <c r="H26" s="87"/>
      <c r="I26" s="87"/>
      <c r="J26" s="50"/>
      <c r="K26" s="50"/>
      <c r="L26" s="97">
        <f t="shared" si="0"/>
        <v>2</v>
      </c>
      <c r="M26" s="41">
        <v>23</v>
      </c>
      <c r="N26" s="72" t="s">
        <v>146</v>
      </c>
      <c r="O26" s="72" t="s">
        <v>147</v>
      </c>
      <c r="P26" s="73" t="s">
        <v>25</v>
      </c>
      <c r="Q26" s="74" t="s">
        <v>148</v>
      </c>
      <c r="R26" s="60">
        <v>1</v>
      </c>
      <c r="S26" s="60"/>
      <c r="T26" s="91"/>
      <c r="U26" s="61"/>
      <c r="V26" s="61"/>
      <c r="W26" s="48"/>
      <c r="X26" s="48"/>
      <c r="Y26" s="97">
        <f>SUM(R26:X26)</f>
        <v>1</v>
      </c>
    </row>
    <row r="27" spans="1:25" x14ac:dyDescent="0.2">
      <c r="A27" s="75" t="s">
        <v>197</v>
      </c>
      <c r="B27" s="75" t="s">
        <v>198</v>
      </c>
      <c r="C27" s="73" t="s">
        <v>9</v>
      </c>
      <c r="D27" s="74" t="s">
        <v>199</v>
      </c>
      <c r="E27" s="56">
        <v>1</v>
      </c>
      <c r="F27" s="56"/>
      <c r="G27" s="87">
        <v>1</v>
      </c>
      <c r="H27" s="87"/>
      <c r="I27" s="87"/>
      <c r="J27" s="50"/>
      <c r="K27" s="50"/>
      <c r="L27" s="97">
        <f t="shared" si="0"/>
        <v>2</v>
      </c>
      <c r="M27" s="41">
        <v>24</v>
      </c>
      <c r="N27" s="72" t="s">
        <v>152</v>
      </c>
      <c r="O27" s="72" t="s">
        <v>153</v>
      </c>
      <c r="P27" s="73" t="s">
        <v>154</v>
      </c>
      <c r="Q27" s="74" t="s">
        <v>155</v>
      </c>
      <c r="R27" s="60"/>
      <c r="S27" s="60"/>
      <c r="T27" s="61"/>
      <c r="U27" s="61">
        <v>1</v>
      </c>
      <c r="V27" s="61"/>
      <c r="W27" s="48"/>
      <c r="X27" s="48"/>
      <c r="Y27" s="97">
        <f>SUM(R27:X27)</f>
        <v>1</v>
      </c>
    </row>
    <row r="28" spans="1:25" x14ac:dyDescent="0.2">
      <c r="A28" s="75" t="s">
        <v>203</v>
      </c>
      <c r="B28" s="75" t="s">
        <v>204</v>
      </c>
      <c r="C28" s="73" t="s">
        <v>205</v>
      </c>
      <c r="D28" s="74" t="s">
        <v>206</v>
      </c>
      <c r="E28" s="56">
        <v>1</v>
      </c>
      <c r="F28" s="56">
        <v>1</v>
      </c>
      <c r="G28" s="88"/>
      <c r="H28" s="87"/>
      <c r="I28" s="87"/>
      <c r="J28" s="52"/>
      <c r="K28" s="52"/>
      <c r="L28" s="97">
        <f t="shared" si="0"/>
        <v>2</v>
      </c>
      <c r="M28" s="41">
        <v>25</v>
      </c>
      <c r="N28" s="72" t="s">
        <v>159</v>
      </c>
      <c r="O28" s="72" t="s">
        <v>160</v>
      </c>
      <c r="P28" s="73" t="s">
        <v>25</v>
      </c>
      <c r="Q28" s="74" t="s">
        <v>161</v>
      </c>
      <c r="R28" s="60"/>
      <c r="S28" s="60">
        <v>1</v>
      </c>
      <c r="T28" s="61"/>
      <c r="U28" s="100"/>
      <c r="V28" s="61">
        <v>1</v>
      </c>
      <c r="W28" s="48"/>
      <c r="X28" s="48"/>
      <c r="Y28" s="97">
        <f>SUM(R28:X28)</f>
        <v>2</v>
      </c>
    </row>
    <row r="29" spans="1:25" x14ac:dyDescent="0.2">
      <c r="A29" s="75" t="s">
        <v>209</v>
      </c>
      <c r="B29" s="75" t="s">
        <v>24</v>
      </c>
      <c r="C29" s="73" t="s">
        <v>21</v>
      </c>
      <c r="D29" s="74" t="s">
        <v>210</v>
      </c>
      <c r="E29" s="56">
        <v>1</v>
      </c>
      <c r="F29" s="56"/>
      <c r="G29" s="88"/>
      <c r="H29" s="87">
        <v>1</v>
      </c>
      <c r="I29" s="87"/>
      <c r="J29" s="50"/>
      <c r="K29" s="50"/>
      <c r="L29" s="97">
        <f t="shared" si="0"/>
        <v>2</v>
      </c>
      <c r="M29" s="41">
        <v>26</v>
      </c>
      <c r="N29" s="72" t="s">
        <v>165</v>
      </c>
      <c r="O29" s="72" t="s">
        <v>166</v>
      </c>
      <c r="P29" s="73" t="s">
        <v>17</v>
      </c>
      <c r="Q29" s="74" t="s">
        <v>167</v>
      </c>
      <c r="R29" s="60">
        <v>1</v>
      </c>
      <c r="S29" s="60">
        <v>1</v>
      </c>
      <c r="T29" s="61">
        <v>1</v>
      </c>
      <c r="U29" s="61"/>
      <c r="V29" s="61">
        <v>1</v>
      </c>
      <c r="W29" s="48"/>
      <c r="X29" s="48"/>
      <c r="Y29" s="97">
        <f>SUM(R29:X29)</f>
        <v>4</v>
      </c>
    </row>
    <row r="30" spans="1:25" x14ac:dyDescent="0.2">
      <c r="A30" s="75" t="s">
        <v>449</v>
      </c>
      <c r="B30" s="75" t="s">
        <v>334</v>
      </c>
      <c r="C30" s="73" t="s">
        <v>450</v>
      </c>
      <c r="D30" s="74" t="s">
        <v>451</v>
      </c>
      <c r="E30" s="56">
        <v>1</v>
      </c>
      <c r="F30" s="56"/>
      <c r="G30" s="88"/>
      <c r="H30" s="87"/>
      <c r="I30" s="87"/>
      <c r="J30" s="50"/>
      <c r="K30" s="50"/>
      <c r="L30" s="97">
        <f t="shared" ref="L30:L57" si="1">SUM(E30:K30)</f>
        <v>1</v>
      </c>
      <c r="M30" s="41">
        <v>27</v>
      </c>
      <c r="N30" s="72" t="s">
        <v>170</v>
      </c>
      <c r="O30" s="72" t="s">
        <v>171</v>
      </c>
      <c r="P30" s="73" t="s">
        <v>54</v>
      </c>
      <c r="Q30" s="74" t="s">
        <v>172</v>
      </c>
      <c r="R30" s="60"/>
      <c r="S30" s="60">
        <v>1</v>
      </c>
      <c r="T30" s="61"/>
      <c r="U30" s="100"/>
      <c r="V30" s="61"/>
      <c r="W30" s="48"/>
      <c r="X30" s="48"/>
      <c r="Y30" s="97">
        <f>SUM(R30:X30)</f>
        <v>1</v>
      </c>
    </row>
    <row r="31" spans="1:25" x14ac:dyDescent="0.2">
      <c r="A31" s="75" t="s">
        <v>23</v>
      </c>
      <c r="B31" s="75" t="s">
        <v>24</v>
      </c>
      <c r="C31" s="73" t="s">
        <v>25</v>
      </c>
      <c r="D31" s="74" t="s">
        <v>26</v>
      </c>
      <c r="E31" s="56">
        <v>1</v>
      </c>
      <c r="F31" s="56">
        <v>1</v>
      </c>
      <c r="G31" s="87">
        <v>1</v>
      </c>
      <c r="H31" s="87">
        <v>1</v>
      </c>
      <c r="I31" s="87"/>
      <c r="J31" s="50"/>
      <c r="K31" s="50"/>
      <c r="L31" s="97">
        <f t="shared" si="1"/>
        <v>4</v>
      </c>
      <c r="M31" s="41">
        <v>28</v>
      </c>
      <c r="N31" s="72" t="s">
        <v>176</v>
      </c>
      <c r="O31" s="72" t="s">
        <v>177</v>
      </c>
      <c r="P31" s="73" t="s">
        <v>54</v>
      </c>
      <c r="Q31" s="74" t="s">
        <v>178</v>
      </c>
      <c r="R31" s="60"/>
      <c r="S31" s="60">
        <v>1</v>
      </c>
      <c r="T31" s="61"/>
      <c r="U31" s="100"/>
      <c r="V31" s="61"/>
      <c r="W31" s="48"/>
      <c r="X31" s="48"/>
      <c r="Y31" s="97">
        <f>SUM(R31:X31)</f>
        <v>1</v>
      </c>
    </row>
    <row r="32" spans="1:25" x14ac:dyDescent="0.2">
      <c r="A32" s="75" t="s">
        <v>452</v>
      </c>
      <c r="B32" s="75" t="s">
        <v>453</v>
      </c>
      <c r="C32" s="73" t="s">
        <v>154</v>
      </c>
      <c r="D32" s="74" t="s">
        <v>454</v>
      </c>
      <c r="E32" s="56"/>
      <c r="F32" s="56">
        <v>1</v>
      </c>
      <c r="G32" s="87"/>
      <c r="H32" s="87"/>
      <c r="I32" s="87"/>
      <c r="J32" s="51"/>
      <c r="K32" s="51"/>
      <c r="L32" s="97">
        <f t="shared" si="1"/>
        <v>1</v>
      </c>
      <c r="M32" s="41">
        <v>29</v>
      </c>
      <c r="N32" s="72" t="s">
        <v>182</v>
      </c>
      <c r="O32" s="72" t="s">
        <v>183</v>
      </c>
      <c r="P32" s="73" t="s">
        <v>25</v>
      </c>
      <c r="Q32" s="74" t="s">
        <v>184</v>
      </c>
      <c r="R32" s="60">
        <v>1</v>
      </c>
      <c r="S32" s="60">
        <v>1</v>
      </c>
      <c r="T32" s="61">
        <v>1</v>
      </c>
      <c r="U32" s="61">
        <v>1</v>
      </c>
      <c r="V32" s="61">
        <v>1</v>
      </c>
      <c r="W32" s="48"/>
      <c r="X32" s="57"/>
      <c r="Y32" s="97">
        <f>SUM(R32:X32)</f>
        <v>5</v>
      </c>
    </row>
    <row r="33" spans="1:25" x14ac:dyDescent="0.2">
      <c r="A33" s="75" t="s">
        <v>214</v>
      </c>
      <c r="B33" s="75" t="s">
        <v>215</v>
      </c>
      <c r="C33" s="73" t="s">
        <v>25</v>
      </c>
      <c r="D33" s="74" t="s">
        <v>216</v>
      </c>
      <c r="E33" s="56">
        <v>1</v>
      </c>
      <c r="F33" s="56">
        <v>1</v>
      </c>
      <c r="G33" s="88"/>
      <c r="H33" s="87"/>
      <c r="I33" s="87"/>
      <c r="J33" s="50"/>
      <c r="K33" s="50"/>
      <c r="L33" s="97">
        <f t="shared" si="1"/>
        <v>2</v>
      </c>
      <c r="M33" s="41">
        <v>30</v>
      </c>
      <c r="N33" s="72" t="s">
        <v>188</v>
      </c>
      <c r="O33" s="72" t="s">
        <v>189</v>
      </c>
      <c r="P33" s="73" t="s">
        <v>54</v>
      </c>
      <c r="Q33" s="74" t="s">
        <v>190</v>
      </c>
      <c r="R33" s="60"/>
      <c r="S33" s="60">
        <v>1</v>
      </c>
      <c r="T33" s="61"/>
      <c r="U33" s="100"/>
      <c r="V33" s="61"/>
      <c r="W33" s="48"/>
      <c r="X33" s="48"/>
      <c r="Y33" s="97">
        <f>SUM(R33:X33)</f>
        <v>1</v>
      </c>
    </row>
    <row r="34" spans="1:25" x14ac:dyDescent="0.2">
      <c r="A34" s="75" t="s">
        <v>219</v>
      </c>
      <c r="B34" s="75" t="s">
        <v>220</v>
      </c>
      <c r="C34" s="73" t="s">
        <v>25</v>
      </c>
      <c r="D34" s="74" t="s">
        <v>221</v>
      </c>
      <c r="E34" s="56">
        <v>1</v>
      </c>
      <c r="F34" s="56">
        <v>1</v>
      </c>
      <c r="G34" s="88"/>
      <c r="H34" s="87"/>
      <c r="I34" s="87"/>
      <c r="J34" s="50"/>
      <c r="K34" s="50"/>
      <c r="L34" s="97">
        <f t="shared" si="1"/>
        <v>2</v>
      </c>
      <c r="M34" s="41">
        <v>31</v>
      </c>
      <c r="N34" s="72" t="s">
        <v>194</v>
      </c>
      <c r="O34" s="72" t="s">
        <v>195</v>
      </c>
      <c r="P34" s="73" t="s">
        <v>9</v>
      </c>
      <c r="Q34" s="74" t="s">
        <v>196</v>
      </c>
      <c r="R34" s="60">
        <v>1</v>
      </c>
      <c r="S34" s="60"/>
      <c r="T34" s="61">
        <v>1</v>
      </c>
      <c r="U34" s="61">
        <v>1</v>
      </c>
      <c r="V34" s="91"/>
      <c r="W34" s="48"/>
      <c r="X34" s="48"/>
      <c r="Y34" s="97">
        <f>SUM(R34:X34)</f>
        <v>3</v>
      </c>
    </row>
    <row r="35" spans="1:25" x14ac:dyDescent="0.2">
      <c r="A35" s="75" t="s">
        <v>455</v>
      </c>
      <c r="B35" s="75" t="s">
        <v>456</v>
      </c>
      <c r="C35" s="73" t="s">
        <v>54</v>
      </c>
      <c r="D35" s="74" t="s">
        <v>457</v>
      </c>
      <c r="E35" s="56"/>
      <c r="F35" s="56">
        <v>1</v>
      </c>
      <c r="G35" s="87"/>
      <c r="H35" s="87"/>
      <c r="I35" s="87"/>
      <c r="J35" s="50"/>
      <c r="K35" s="50"/>
      <c r="L35" s="97">
        <f t="shared" si="1"/>
        <v>1</v>
      </c>
      <c r="M35" s="41">
        <v>32</v>
      </c>
      <c r="N35" s="72" t="s">
        <v>200</v>
      </c>
      <c r="O35" s="72" t="s">
        <v>201</v>
      </c>
      <c r="P35" s="73" t="s">
        <v>25</v>
      </c>
      <c r="Q35" s="74" t="s">
        <v>202</v>
      </c>
      <c r="R35" s="60">
        <v>1</v>
      </c>
      <c r="S35" s="60">
        <v>1</v>
      </c>
      <c r="T35" s="61">
        <v>1</v>
      </c>
      <c r="U35" s="61">
        <v>1</v>
      </c>
      <c r="V35" s="91">
        <v>1</v>
      </c>
      <c r="W35" s="48"/>
      <c r="X35" s="48"/>
      <c r="Y35" s="97">
        <f>SUM(R35:X35)</f>
        <v>5</v>
      </c>
    </row>
    <row r="36" spans="1:25" x14ac:dyDescent="0.2">
      <c r="A36" s="75" t="s">
        <v>225</v>
      </c>
      <c r="B36" s="75" t="s">
        <v>226</v>
      </c>
      <c r="C36" s="73" t="s">
        <v>54</v>
      </c>
      <c r="D36" s="74" t="s">
        <v>227</v>
      </c>
      <c r="E36" s="56"/>
      <c r="F36" s="56">
        <v>1</v>
      </c>
      <c r="G36" s="87"/>
      <c r="H36" s="87">
        <v>1</v>
      </c>
      <c r="I36" s="87"/>
      <c r="J36" s="50"/>
      <c r="K36" s="50"/>
      <c r="L36" s="97">
        <f t="shared" si="1"/>
        <v>2</v>
      </c>
      <c r="M36" s="41">
        <v>33</v>
      </c>
      <c r="N36" s="72" t="s">
        <v>207</v>
      </c>
      <c r="O36" s="72" t="s">
        <v>208</v>
      </c>
      <c r="P36" s="73" t="s">
        <v>54</v>
      </c>
      <c r="Q36" s="74" t="s">
        <v>85</v>
      </c>
      <c r="R36" s="60"/>
      <c r="S36" s="60">
        <v>1</v>
      </c>
      <c r="T36" s="61"/>
      <c r="U36" s="100"/>
      <c r="V36" s="61"/>
      <c r="W36" s="48"/>
      <c r="X36" s="48"/>
      <c r="Y36" s="97">
        <f>SUM(R36:X36)</f>
        <v>1</v>
      </c>
    </row>
    <row r="37" spans="1:25" ht="14.25" customHeight="1" x14ac:dyDescent="0.2">
      <c r="A37" s="75" t="s">
        <v>458</v>
      </c>
      <c r="B37" s="75" t="s">
        <v>459</v>
      </c>
      <c r="C37" s="73" t="s">
        <v>154</v>
      </c>
      <c r="D37" s="74" t="s">
        <v>460</v>
      </c>
      <c r="E37" s="56"/>
      <c r="F37" s="56"/>
      <c r="G37" s="87"/>
      <c r="H37" s="87">
        <v>1</v>
      </c>
      <c r="I37" s="87"/>
      <c r="J37" s="50"/>
      <c r="K37" s="50"/>
      <c r="L37" s="97">
        <f t="shared" si="1"/>
        <v>1</v>
      </c>
      <c r="M37" s="41">
        <v>34</v>
      </c>
      <c r="N37" s="72" t="s">
        <v>691</v>
      </c>
      <c r="O37" s="72" t="s">
        <v>692</v>
      </c>
      <c r="P37" s="110" t="s">
        <v>21</v>
      </c>
      <c r="Q37" s="111" t="s">
        <v>693</v>
      </c>
      <c r="R37" s="61"/>
      <c r="S37" s="61"/>
      <c r="T37" s="61"/>
      <c r="U37" s="61"/>
      <c r="V37" s="61">
        <v>1</v>
      </c>
      <c r="W37" s="48"/>
      <c r="X37" s="48"/>
      <c r="Y37" s="33">
        <f>SUM(V37:X37)</f>
        <v>1</v>
      </c>
    </row>
    <row r="38" spans="1:25" x14ac:dyDescent="0.2">
      <c r="A38" s="75" t="s">
        <v>231</v>
      </c>
      <c r="B38" s="75" t="s">
        <v>232</v>
      </c>
      <c r="C38" s="73" t="s">
        <v>17</v>
      </c>
      <c r="D38" s="74" t="s">
        <v>233</v>
      </c>
      <c r="E38" s="56">
        <v>1</v>
      </c>
      <c r="F38" s="56"/>
      <c r="G38" s="87">
        <v>1</v>
      </c>
      <c r="H38" s="87"/>
      <c r="I38" s="87"/>
      <c r="J38" s="50"/>
      <c r="K38" s="50"/>
      <c r="L38" s="97">
        <f t="shared" si="1"/>
        <v>2</v>
      </c>
      <c r="M38" s="41">
        <v>35</v>
      </c>
      <c r="N38" s="72" t="s">
        <v>688</v>
      </c>
      <c r="O38" s="72" t="s">
        <v>689</v>
      </c>
      <c r="P38" s="110" t="s">
        <v>21</v>
      </c>
      <c r="Q38" s="111" t="s">
        <v>690</v>
      </c>
      <c r="R38" s="61"/>
      <c r="S38" s="61"/>
      <c r="T38" s="61"/>
      <c r="U38" s="61"/>
      <c r="V38" s="61">
        <v>1</v>
      </c>
      <c r="W38" s="48"/>
      <c r="X38" s="48"/>
      <c r="Y38" s="33">
        <f>SUM(V38:X38)</f>
        <v>1</v>
      </c>
    </row>
    <row r="39" spans="1:25" x14ac:dyDescent="0.2">
      <c r="A39" s="75" t="s">
        <v>236</v>
      </c>
      <c r="B39" s="75" t="s">
        <v>180</v>
      </c>
      <c r="C39" s="73" t="s">
        <v>54</v>
      </c>
      <c r="D39" s="74" t="s">
        <v>237</v>
      </c>
      <c r="E39" s="56">
        <v>1</v>
      </c>
      <c r="F39" s="56">
        <v>1</v>
      </c>
      <c r="G39" s="88"/>
      <c r="H39" s="87"/>
      <c r="I39" s="87"/>
      <c r="J39" s="50"/>
      <c r="K39" s="50"/>
      <c r="L39" s="97">
        <f t="shared" si="1"/>
        <v>2</v>
      </c>
      <c r="M39" s="41">
        <v>36</v>
      </c>
      <c r="N39" s="72" t="s">
        <v>211</v>
      </c>
      <c r="O39" s="72" t="s">
        <v>212</v>
      </c>
      <c r="P39" s="73" t="s">
        <v>21</v>
      </c>
      <c r="Q39" s="74" t="s">
        <v>213</v>
      </c>
      <c r="R39" s="60">
        <v>1</v>
      </c>
      <c r="S39" s="60">
        <v>1</v>
      </c>
      <c r="T39" s="61"/>
      <c r="U39" s="91"/>
      <c r="V39" s="91"/>
      <c r="W39" s="48"/>
      <c r="X39" s="48"/>
      <c r="Y39" s="97">
        <f>SUM(R39:X39)</f>
        <v>2</v>
      </c>
    </row>
    <row r="40" spans="1:25" x14ac:dyDescent="0.2">
      <c r="A40" s="75" t="s">
        <v>461</v>
      </c>
      <c r="B40" s="75" t="s">
        <v>346</v>
      </c>
      <c r="C40" s="73" t="s">
        <v>54</v>
      </c>
      <c r="D40" s="74" t="s">
        <v>462</v>
      </c>
      <c r="E40" s="56"/>
      <c r="F40" s="56">
        <v>1</v>
      </c>
      <c r="G40" s="87"/>
      <c r="H40" s="87"/>
      <c r="I40" s="87"/>
      <c r="J40" s="50"/>
      <c r="K40" s="50"/>
      <c r="L40" s="97">
        <f t="shared" si="1"/>
        <v>1</v>
      </c>
      <c r="M40" s="41">
        <v>37</v>
      </c>
      <c r="N40" s="72" t="s">
        <v>217</v>
      </c>
      <c r="O40" s="72" t="s">
        <v>66</v>
      </c>
      <c r="P40" s="73" t="s">
        <v>25</v>
      </c>
      <c r="Q40" s="74" t="s">
        <v>218</v>
      </c>
      <c r="R40" s="60">
        <v>1</v>
      </c>
      <c r="S40" s="60">
        <v>1</v>
      </c>
      <c r="T40" s="61"/>
      <c r="U40" s="59">
        <v>1</v>
      </c>
      <c r="V40" s="91">
        <v>1</v>
      </c>
      <c r="W40" s="48"/>
      <c r="X40" s="48"/>
      <c r="Y40" s="97">
        <f>SUM(R40:X40)</f>
        <v>4</v>
      </c>
    </row>
    <row r="41" spans="1:25" x14ac:dyDescent="0.2">
      <c r="A41" s="75" t="s">
        <v>96</v>
      </c>
      <c r="B41" s="75" t="s">
        <v>97</v>
      </c>
      <c r="C41" s="73" t="s">
        <v>25</v>
      </c>
      <c r="D41" s="74" t="s">
        <v>98</v>
      </c>
      <c r="E41" s="56">
        <v>1</v>
      </c>
      <c r="F41" s="56">
        <v>1</v>
      </c>
      <c r="G41" s="88"/>
      <c r="H41" s="87">
        <v>1</v>
      </c>
      <c r="I41" s="87">
        <v>1</v>
      </c>
      <c r="J41" s="50"/>
      <c r="K41" s="50"/>
      <c r="L41" s="97">
        <f t="shared" si="1"/>
        <v>4</v>
      </c>
      <c r="M41" s="41">
        <v>38</v>
      </c>
      <c r="N41" s="72" t="s">
        <v>222</v>
      </c>
      <c r="O41" s="72" t="s">
        <v>223</v>
      </c>
      <c r="P41" s="73" t="s">
        <v>21</v>
      </c>
      <c r="Q41" s="74" t="s">
        <v>224</v>
      </c>
      <c r="R41" s="60">
        <v>1</v>
      </c>
      <c r="S41" s="60">
        <v>1</v>
      </c>
      <c r="T41" s="61">
        <v>1</v>
      </c>
      <c r="U41" s="61">
        <v>1</v>
      </c>
      <c r="V41" s="61"/>
      <c r="W41" s="48"/>
      <c r="X41" s="48"/>
      <c r="Y41" s="97">
        <f>SUM(R41:X41)</f>
        <v>4</v>
      </c>
    </row>
    <row r="42" spans="1:25" x14ac:dyDescent="0.2">
      <c r="A42" s="75" t="s">
        <v>241</v>
      </c>
      <c r="B42" s="75" t="s">
        <v>242</v>
      </c>
      <c r="C42" s="73" t="s">
        <v>13</v>
      </c>
      <c r="D42" s="74" t="s">
        <v>243</v>
      </c>
      <c r="E42" s="56"/>
      <c r="F42" s="56">
        <v>1</v>
      </c>
      <c r="G42" s="87">
        <v>1</v>
      </c>
      <c r="H42" s="87"/>
      <c r="I42" s="87"/>
      <c r="J42" s="50"/>
      <c r="K42" s="50"/>
      <c r="L42" s="97">
        <f t="shared" si="1"/>
        <v>2</v>
      </c>
      <c r="M42" s="41">
        <v>39</v>
      </c>
      <c r="N42" s="72" t="s">
        <v>228</v>
      </c>
      <c r="O42" s="72" t="s">
        <v>229</v>
      </c>
      <c r="P42" s="73" t="s">
        <v>54</v>
      </c>
      <c r="Q42" s="74" t="s">
        <v>230</v>
      </c>
      <c r="R42" s="60">
        <v>1</v>
      </c>
      <c r="S42" s="60">
        <v>1</v>
      </c>
      <c r="T42" s="61"/>
      <c r="U42" s="61"/>
      <c r="V42" s="61"/>
      <c r="W42" s="48"/>
      <c r="X42" s="48"/>
      <c r="Y42" s="97">
        <f>SUM(R42:X42)</f>
        <v>2</v>
      </c>
    </row>
    <row r="43" spans="1:25" ht="13.5" customHeight="1" x14ac:dyDescent="0.2">
      <c r="A43" s="75" t="s">
        <v>463</v>
      </c>
      <c r="B43" s="75" t="s">
        <v>464</v>
      </c>
      <c r="C43" s="73" t="s">
        <v>154</v>
      </c>
      <c r="D43" s="74" t="s">
        <v>465</v>
      </c>
      <c r="E43" s="56"/>
      <c r="F43" s="56"/>
      <c r="G43" s="87"/>
      <c r="H43" s="87">
        <v>1</v>
      </c>
      <c r="I43" s="87"/>
      <c r="J43" s="50"/>
      <c r="K43" s="50"/>
      <c r="L43" s="97">
        <f t="shared" si="1"/>
        <v>1</v>
      </c>
      <c r="M43" s="41">
        <v>40</v>
      </c>
      <c r="N43" s="72" t="s">
        <v>234</v>
      </c>
      <c r="O43" s="72" t="s">
        <v>208</v>
      </c>
      <c r="P43" s="73" t="s">
        <v>25</v>
      </c>
      <c r="Q43" s="74" t="s">
        <v>235</v>
      </c>
      <c r="R43" s="60">
        <v>1</v>
      </c>
      <c r="S43" s="60">
        <v>1</v>
      </c>
      <c r="T43" s="61"/>
      <c r="U43" s="91"/>
      <c r="V43" s="91"/>
      <c r="W43" s="48"/>
      <c r="X43" s="48"/>
      <c r="Y43" s="97">
        <f>SUM(R43:X43)</f>
        <v>2</v>
      </c>
    </row>
    <row r="44" spans="1:25" x14ac:dyDescent="0.2">
      <c r="A44" s="75" t="s">
        <v>247</v>
      </c>
      <c r="B44" s="75" t="s">
        <v>248</v>
      </c>
      <c r="C44" s="73" t="s">
        <v>17</v>
      </c>
      <c r="D44" s="74" t="s">
        <v>249</v>
      </c>
      <c r="E44" s="56"/>
      <c r="F44" s="56">
        <v>1</v>
      </c>
      <c r="G44" s="87"/>
      <c r="H44" s="87">
        <v>1</v>
      </c>
      <c r="I44" s="87">
        <v>1</v>
      </c>
      <c r="J44" s="50"/>
      <c r="K44" s="50"/>
      <c r="L44" s="97">
        <f t="shared" si="1"/>
        <v>3</v>
      </c>
      <c r="M44" s="41">
        <v>41</v>
      </c>
      <c r="N44" s="72" t="s">
        <v>238</v>
      </c>
      <c r="O44" s="72" t="s">
        <v>239</v>
      </c>
      <c r="P44" s="73" t="s">
        <v>17</v>
      </c>
      <c r="Q44" s="74" t="s">
        <v>240</v>
      </c>
      <c r="R44" s="60">
        <v>1</v>
      </c>
      <c r="S44" s="60"/>
      <c r="T44" s="61">
        <v>1</v>
      </c>
      <c r="U44" s="61"/>
      <c r="V44" s="61"/>
      <c r="W44" s="57"/>
      <c r="X44" s="48"/>
      <c r="Y44" s="97">
        <f>SUM(R44:X44)</f>
        <v>2</v>
      </c>
    </row>
    <row r="45" spans="1:25" x14ac:dyDescent="0.2">
      <c r="A45" s="75" t="s">
        <v>253</v>
      </c>
      <c r="B45" s="75" t="s">
        <v>254</v>
      </c>
      <c r="C45" s="73" t="s">
        <v>17</v>
      </c>
      <c r="D45" s="74" t="s">
        <v>255</v>
      </c>
      <c r="E45" s="56">
        <v>1</v>
      </c>
      <c r="F45" s="56">
        <v>1</v>
      </c>
      <c r="G45" s="88"/>
      <c r="H45" s="87"/>
      <c r="I45" s="87"/>
      <c r="J45" s="50"/>
      <c r="K45" s="50"/>
      <c r="L45" s="97">
        <f t="shared" si="1"/>
        <v>2</v>
      </c>
      <c r="M45" s="41">
        <v>42</v>
      </c>
      <c r="N45" s="72" t="s">
        <v>244</v>
      </c>
      <c r="O45" s="72" t="s">
        <v>245</v>
      </c>
      <c r="P45" s="73" t="s">
        <v>54</v>
      </c>
      <c r="Q45" s="74" t="s">
        <v>246</v>
      </c>
      <c r="R45" s="60"/>
      <c r="S45" s="60">
        <v>1</v>
      </c>
      <c r="T45" s="61"/>
      <c r="U45" s="100"/>
      <c r="V45" s="61"/>
      <c r="W45" s="48"/>
      <c r="X45" s="48"/>
      <c r="Y45" s="97">
        <f>SUM(R45:X45)</f>
        <v>1</v>
      </c>
    </row>
    <row r="46" spans="1:25" x14ac:dyDescent="0.2">
      <c r="A46" s="75" t="s">
        <v>466</v>
      </c>
      <c r="B46" s="75" t="s">
        <v>467</v>
      </c>
      <c r="C46" s="73" t="s">
        <v>25</v>
      </c>
      <c r="D46" s="74" t="s">
        <v>468</v>
      </c>
      <c r="E46" s="56"/>
      <c r="F46" s="56">
        <v>1</v>
      </c>
      <c r="G46" s="87"/>
      <c r="H46" s="87"/>
      <c r="I46" s="87"/>
      <c r="J46" s="52"/>
      <c r="K46" s="52"/>
      <c r="L46" s="97">
        <f t="shared" si="1"/>
        <v>1</v>
      </c>
      <c r="M46" s="41">
        <v>43</v>
      </c>
      <c r="N46" s="72" t="s">
        <v>250</v>
      </c>
      <c r="O46" s="72" t="s">
        <v>251</v>
      </c>
      <c r="P46" s="73" t="s">
        <v>25</v>
      </c>
      <c r="Q46" s="74" t="s">
        <v>252</v>
      </c>
      <c r="R46" s="60">
        <v>1</v>
      </c>
      <c r="S46" s="60"/>
      <c r="T46" s="61"/>
      <c r="U46" s="61"/>
      <c r="V46" s="61"/>
      <c r="W46" s="48"/>
      <c r="X46" s="48"/>
      <c r="Y46" s="97">
        <f>SUM(R46:X46)</f>
        <v>1</v>
      </c>
    </row>
    <row r="47" spans="1:25" x14ac:dyDescent="0.2">
      <c r="A47" s="75" t="s">
        <v>469</v>
      </c>
      <c r="B47" s="75" t="s">
        <v>470</v>
      </c>
      <c r="C47" s="73" t="s">
        <v>54</v>
      </c>
      <c r="D47" s="74" t="s">
        <v>471</v>
      </c>
      <c r="E47" s="56">
        <v>1</v>
      </c>
      <c r="F47" s="56"/>
      <c r="G47" s="88"/>
      <c r="H47" s="87"/>
      <c r="I47" s="87"/>
      <c r="J47" s="50"/>
      <c r="K47" s="50"/>
      <c r="L47" s="97">
        <f t="shared" si="1"/>
        <v>1</v>
      </c>
      <c r="M47" s="41">
        <v>44</v>
      </c>
      <c r="N47" s="72" t="s">
        <v>256</v>
      </c>
      <c r="O47" s="72" t="s">
        <v>257</v>
      </c>
      <c r="P47" s="73" t="s">
        <v>17</v>
      </c>
      <c r="Q47" s="74" t="s">
        <v>258</v>
      </c>
      <c r="R47" s="60"/>
      <c r="S47" s="60">
        <v>1</v>
      </c>
      <c r="T47" s="61"/>
      <c r="U47" s="100">
        <v>1</v>
      </c>
      <c r="V47" s="61">
        <v>1</v>
      </c>
      <c r="W47" s="48"/>
      <c r="X47" s="48"/>
      <c r="Y47" s="97">
        <v>1</v>
      </c>
    </row>
    <row r="48" spans="1:25" x14ac:dyDescent="0.2">
      <c r="A48" s="75" t="s">
        <v>30</v>
      </c>
      <c r="B48" s="75" t="s">
        <v>31</v>
      </c>
      <c r="C48" s="73" t="s">
        <v>17</v>
      </c>
      <c r="D48" s="74" t="s">
        <v>32</v>
      </c>
      <c r="E48" s="56">
        <v>1</v>
      </c>
      <c r="F48" s="56">
        <v>1</v>
      </c>
      <c r="G48" s="87">
        <v>1</v>
      </c>
      <c r="H48" s="87">
        <v>1</v>
      </c>
      <c r="I48" s="87">
        <v>1</v>
      </c>
      <c r="J48" s="50"/>
      <c r="K48" s="50"/>
      <c r="L48" s="97">
        <f t="shared" si="1"/>
        <v>5</v>
      </c>
      <c r="M48" s="41">
        <v>45</v>
      </c>
      <c r="N48" s="106" t="s">
        <v>262</v>
      </c>
      <c r="O48" s="106" t="s">
        <v>263</v>
      </c>
      <c r="P48" s="107" t="s">
        <v>25</v>
      </c>
      <c r="Q48" s="108" t="s">
        <v>264</v>
      </c>
      <c r="R48" s="60">
        <v>1</v>
      </c>
      <c r="S48" s="60">
        <v>1</v>
      </c>
      <c r="T48" s="61"/>
      <c r="U48" s="61"/>
      <c r="V48" s="61"/>
      <c r="W48" s="48"/>
      <c r="X48" s="48"/>
      <c r="Y48" s="97">
        <f>SUM(R48:X48)</f>
        <v>2</v>
      </c>
    </row>
    <row r="49" spans="1:25" x14ac:dyDescent="0.2">
      <c r="A49" s="75" t="s">
        <v>259</v>
      </c>
      <c r="B49" s="75" t="s">
        <v>260</v>
      </c>
      <c r="C49" s="73" t="s">
        <v>21</v>
      </c>
      <c r="D49" s="74" t="s">
        <v>261</v>
      </c>
      <c r="E49" s="56"/>
      <c r="F49" s="56">
        <v>1</v>
      </c>
      <c r="G49" s="87">
        <v>1</v>
      </c>
      <c r="H49" s="87"/>
      <c r="I49" s="89"/>
      <c r="J49" s="51"/>
      <c r="K49" s="51"/>
      <c r="L49" s="97">
        <f t="shared" si="1"/>
        <v>2</v>
      </c>
      <c r="M49" s="41">
        <v>46</v>
      </c>
      <c r="N49" s="109" t="s">
        <v>268</v>
      </c>
      <c r="O49" s="109" t="s">
        <v>166</v>
      </c>
      <c r="P49" s="110" t="s">
        <v>25</v>
      </c>
      <c r="Q49" s="111" t="s">
        <v>161</v>
      </c>
      <c r="R49" s="60">
        <v>1</v>
      </c>
      <c r="S49" s="60">
        <v>1</v>
      </c>
      <c r="T49" s="61">
        <v>1</v>
      </c>
      <c r="U49" s="61"/>
      <c r="V49" s="91"/>
      <c r="W49" s="48"/>
      <c r="X49" s="48"/>
      <c r="Y49" s="97">
        <f>SUM(R49:X49)</f>
        <v>3</v>
      </c>
    </row>
    <row r="50" spans="1:25" x14ac:dyDescent="0.2">
      <c r="A50" s="75" t="s">
        <v>265</v>
      </c>
      <c r="B50" s="75" t="s">
        <v>266</v>
      </c>
      <c r="C50" s="73" t="s">
        <v>17</v>
      </c>
      <c r="D50" s="74" t="s">
        <v>267</v>
      </c>
      <c r="E50" s="56">
        <v>1</v>
      </c>
      <c r="F50" s="56"/>
      <c r="G50" s="87">
        <v>1</v>
      </c>
      <c r="H50" s="87"/>
      <c r="I50" s="87"/>
      <c r="J50" s="50"/>
      <c r="K50" s="50"/>
      <c r="L50" s="97">
        <f t="shared" si="1"/>
        <v>2</v>
      </c>
      <c r="M50" s="41">
        <v>47</v>
      </c>
      <c r="N50" s="109" t="s">
        <v>694</v>
      </c>
      <c r="O50" s="109" t="s">
        <v>695</v>
      </c>
      <c r="P50" s="110" t="s">
        <v>25</v>
      </c>
      <c r="Q50" s="111" t="s">
        <v>696</v>
      </c>
      <c r="R50" s="60"/>
      <c r="S50" s="60"/>
      <c r="T50" s="60"/>
      <c r="U50" s="60"/>
      <c r="V50" s="91">
        <v>1</v>
      </c>
      <c r="W50" s="48"/>
      <c r="X50" s="48"/>
      <c r="Y50" s="33">
        <f>SUM(V50:X50)</f>
        <v>1</v>
      </c>
    </row>
    <row r="51" spans="1:25" x14ac:dyDescent="0.2">
      <c r="A51" s="75" t="s">
        <v>102</v>
      </c>
      <c r="B51" s="75" t="s">
        <v>103</v>
      </c>
      <c r="C51" s="73" t="s">
        <v>13</v>
      </c>
      <c r="D51" s="74" t="s">
        <v>104</v>
      </c>
      <c r="E51" s="56"/>
      <c r="F51" s="56">
        <v>1</v>
      </c>
      <c r="G51" s="87">
        <v>1</v>
      </c>
      <c r="H51" s="87">
        <v>1</v>
      </c>
      <c r="I51" s="87"/>
      <c r="J51" s="50"/>
      <c r="K51" s="50"/>
      <c r="L51" s="97">
        <f t="shared" si="1"/>
        <v>3</v>
      </c>
      <c r="M51" s="41">
        <v>48</v>
      </c>
      <c r="N51" s="109" t="s">
        <v>272</v>
      </c>
      <c r="O51" s="109" t="s">
        <v>273</v>
      </c>
      <c r="P51" s="110" t="s">
        <v>25</v>
      </c>
      <c r="Q51" s="111" t="s">
        <v>274</v>
      </c>
      <c r="R51" s="60">
        <v>1</v>
      </c>
      <c r="S51" s="60"/>
      <c r="T51" s="91"/>
      <c r="U51" s="61"/>
      <c r="V51" s="61"/>
      <c r="W51" s="48"/>
      <c r="X51" s="48"/>
      <c r="Y51" s="97">
        <f>SUM(R51:X51)</f>
        <v>1</v>
      </c>
    </row>
    <row r="52" spans="1:25" x14ac:dyDescent="0.2">
      <c r="A52" s="75" t="s">
        <v>269</v>
      </c>
      <c r="B52" s="75" t="s">
        <v>270</v>
      </c>
      <c r="C52" s="73" t="s">
        <v>25</v>
      </c>
      <c r="D52" s="74" t="s">
        <v>271</v>
      </c>
      <c r="E52" s="56">
        <v>1</v>
      </c>
      <c r="F52" s="56">
        <v>1</v>
      </c>
      <c r="G52" s="87">
        <v>1</v>
      </c>
      <c r="H52" s="87"/>
      <c r="I52" s="87"/>
      <c r="J52" s="50"/>
      <c r="K52" s="50"/>
      <c r="L52" s="97">
        <f t="shared" si="1"/>
        <v>3</v>
      </c>
      <c r="M52" s="41">
        <v>49</v>
      </c>
      <c r="N52" s="109" t="s">
        <v>278</v>
      </c>
      <c r="O52" s="109" t="s">
        <v>279</v>
      </c>
      <c r="P52" s="110" t="s">
        <v>25</v>
      </c>
      <c r="Q52" s="111" t="s">
        <v>280</v>
      </c>
      <c r="R52" s="60">
        <v>1</v>
      </c>
      <c r="S52" s="60">
        <v>1</v>
      </c>
      <c r="T52" s="61"/>
      <c r="U52" s="91"/>
      <c r="V52" s="61"/>
      <c r="W52" s="48"/>
      <c r="X52" s="48"/>
      <c r="Y52" s="97">
        <f>SUM(R52:X52)</f>
        <v>2</v>
      </c>
    </row>
    <row r="53" spans="1:25" x14ac:dyDescent="0.2">
      <c r="A53" s="75" t="s">
        <v>472</v>
      </c>
      <c r="B53" s="75" t="s">
        <v>282</v>
      </c>
      <c r="C53" s="73" t="s">
        <v>54</v>
      </c>
      <c r="D53" s="74" t="s">
        <v>473</v>
      </c>
      <c r="E53" s="56"/>
      <c r="F53" s="56">
        <v>1</v>
      </c>
      <c r="G53" s="87"/>
      <c r="H53" s="87"/>
      <c r="I53" s="87"/>
      <c r="J53" s="50"/>
      <c r="K53" s="50"/>
      <c r="L53" s="97">
        <f t="shared" si="1"/>
        <v>1</v>
      </c>
      <c r="M53" s="41">
        <v>50</v>
      </c>
      <c r="N53" s="109" t="s">
        <v>278</v>
      </c>
      <c r="O53" s="109" t="s">
        <v>284</v>
      </c>
      <c r="P53" s="110" t="s">
        <v>54</v>
      </c>
      <c r="Q53" s="111" t="s">
        <v>184</v>
      </c>
      <c r="R53" s="60"/>
      <c r="S53" s="60">
        <v>1</v>
      </c>
      <c r="T53" s="61"/>
      <c r="U53" s="100"/>
      <c r="V53" s="61"/>
      <c r="W53" s="48"/>
      <c r="X53" s="48"/>
      <c r="Y53" s="97">
        <f>SUM(R53:X53)</f>
        <v>1</v>
      </c>
    </row>
    <row r="54" spans="1:25" ht="13.5" customHeight="1" x14ac:dyDescent="0.2">
      <c r="A54" s="75" t="s">
        <v>474</v>
      </c>
      <c r="B54" s="75" t="s">
        <v>441</v>
      </c>
      <c r="C54" s="73" t="s">
        <v>54</v>
      </c>
      <c r="D54" s="74" t="s">
        <v>475</v>
      </c>
      <c r="E54" s="56"/>
      <c r="F54" s="56">
        <v>1</v>
      </c>
      <c r="G54" s="87"/>
      <c r="H54" s="87"/>
      <c r="I54" s="87"/>
      <c r="J54" s="52"/>
      <c r="K54" s="52"/>
      <c r="L54" s="97">
        <f t="shared" si="1"/>
        <v>1</v>
      </c>
      <c r="M54" s="41">
        <v>51</v>
      </c>
      <c r="N54" s="109" t="s">
        <v>288</v>
      </c>
      <c r="O54" s="109" t="s">
        <v>289</v>
      </c>
      <c r="P54" s="110" t="s">
        <v>41</v>
      </c>
      <c r="Q54" s="111" t="s">
        <v>290</v>
      </c>
      <c r="R54" s="60">
        <v>1</v>
      </c>
      <c r="S54" s="60">
        <v>1</v>
      </c>
      <c r="T54" s="61"/>
      <c r="U54" s="61"/>
      <c r="V54" s="61"/>
      <c r="W54" s="48"/>
      <c r="X54" s="48"/>
      <c r="Y54" s="97">
        <f>SUM(R54:X54)</f>
        <v>2</v>
      </c>
    </row>
    <row r="55" spans="1:25" x14ac:dyDescent="0.2">
      <c r="A55" s="75" t="s">
        <v>476</v>
      </c>
      <c r="B55" s="75" t="s">
        <v>477</v>
      </c>
      <c r="C55" s="73" t="s">
        <v>154</v>
      </c>
      <c r="D55" s="74" t="s">
        <v>478</v>
      </c>
      <c r="E55" s="56"/>
      <c r="F55" s="56"/>
      <c r="G55" s="87"/>
      <c r="H55" s="87">
        <v>1</v>
      </c>
      <c r="I55" s="87"/>
      <c r="J55" s="50"/>
      <c r="K55" s="50"/>
      <c r="L55" s="97">
        <f t="shared" si="1"/>
        <v>1</v>
      </c>
      <c r="M55" s="41">
        <v>52</v>
      </c>
      <c r="N55" s="109" t="s">
        <v>294</v>
      </c>
      <c r="O55" s="109" t="s">
        <v>94</v>
      </c>
      <c r="P55" s="110" t="s">
        <v>54</v>
      </c>
      <c r="Q55" s="111" t="s">
        <v>295</v>
      </c>
      <c r="R55" s="60"/>
      <c r="S55" s="60">
        <v>1</v>
      </c>
      <c r="T55" s="61"/>
      <c r="U55" s="100"/>
      <c r="V55" s="61"/>
      <c r="W55" s="48"/>
      <c r="X55" s="48"/>
      <c r="Y55" s="97">
        <f>SUM(R55:X55)</f>
        <v>1</v>
      </c>
    </row>
    <row r="56" spans="1:25" x14ac:dyDescent="0.2">
      <c r="A56" s="75" t="s">
        <v>275</v>
      </c>
      <c r="B56" s="75" t="s">
        <v>276</v>
      </c>
      <c r="C56" s="73" t="s">
        <v>13</v>
      </c>
      <c r="D56" s="74" t="s">
        <v>277</v>
      </c>
      <c r="E56" s="56">
        <v>1</v>
      </c>
      <c r="F56" s="56">
        <v>1</v>
      </c>
      <c r="G56" s="88"/>
      <c r="H56" s="87"/>
      <c r="I56" s="87"/>
      <c r="J56" s="50"/>
      <c r="K56" s="50"/>
      <c r="L56" s="97">
        <f t="shared" si="1"/>
        <v>2</v>
      </c>
      <c r="M56" s="41">
        <v>53</v>
      </c>
      <c r="N56" s="109" t="s">
        <v>299</v>
      </c>
      <c r="O56" s="109" t="s">
        <v>300</v>
      </c>
      <c r="P56" s="110" t="s">
        <v>9</v>
      </c>
      <c r="Q56" s="111" t="s">
        <v>301</v>
      </c>
      <c r="R56" s="60">
        <v>1</v>
      </c>
      <c r="S56" s="60"/>
      <c r="T56" s="61">
        <v>1</v>
      </c>
      <c r="U56" s="61"/>
      <c r="V56" s="91"/>
      <c r="W56" s="48"/>
      <c r="X56" s="48"/>
      <c r="Y56" s="97">
        <f>SUM(R56:X56)</f>
        <v>2</v>
      </c>
    </row>
    <row r="57" spans="1:25" x14ac:dyDescent="0.2">
      <c r="A57" s="75" t="s">
        <v>281</v>
      </c>
      <c r="B57" s="75" t="s">
        <v>282</v>
      </c>
      <c r="C57" s="73" t="s">
        <v>9</v>
      </c>
      <c r="D57" s="74" t="s">
        <v>283</v>
      </c>
      <c r="E57" s="56"/>
      <c r="F57" s="56">
        <v>1</v>
      </c>
      <c r="G57" s="87"/>
      <c r="H57" s="87">
        <v>1</v>
      </c>
      <c r="I57" s="87">
        <v>1</v>
      </c>
      <c r="J57" s="50"/>
      <c r="K57" s="50"/>
      <c r="L57" s="97">
        <f t="shared" si="1"/>
        <v>3</v>
      </c>
      <c r="M57" s="41">
        <v>54</v>
      </c>
      <c r="N57" s="109" t="s">
        <v>304</v>
      </c>
      <c r="O57" s="109" t="s">
        <v>305</v>
      </c>
      <c r="P57" s="110" t="s">
        <v>25</v>
      </c>
      <c r="Q57" s="111" t="s">
        <v>306</v>
      </c>
      <c r="R57" s="60">
        <v>1</v>
      </c>
      <c r="S57" s="60"/>
      <c r="T57" s="61"/>
      <c r="U57" s="100"/>
      <c r="V57" s="61"/>
      <c r="W57" s="48"/>
      <c r="X57" s="48"/>
      <c r="Y57" s="97">
        <f>SUM(R57:X57)</f>
        <v>1</v>
      </c>
    </row>
    <row r="58" spans="1:25" x14ac:dyDescent="0.2">
      <c r="A58" s="75" t="s">
        <v>108</v>
      </c>
      <c r="B58" s="75" t="s">
        <v>109</v>
      </c>
      <c r="C58" s="73" t="s">
        <v>25</v>
      </c>
      <c r="D58" s="74" t="s">
        <v>110</v>
      </c>
      <c r="E58" s="56">
        <v>1</v>
      </c>
      <c r="F58" s="56">
        <v>1</v>
      </c>
      <c r="G58" s="87">
        <v>1</v>
      </c>
      <c r="H58" s="87"/>
      <c r="I58" s="87"/>
      <c r="J58" s="50"/>
      <c r="K58" s="50"/>
      <c r="L58" s="97">
        <f t="shared" ref="L58:L78" si="2">SUM(E58:K58)</f>
        <v>3</v>
      </c>
      <c r="M58" s="41">
        <v>55</v>
      </c>
      <c r="N58" s="109" t="s">
        <v>310</v>
      </c>
      <c r="O58" s="109" t="s">
        <v>311</v>
      </c>
      <c r="P58" s="110" t="s">
        <v>312</v>
      </c>
      <c r="Q58" s="111" t="s">
        <v>313</v>
      </c>
      <c r="R58" s="60"/>
      <c r="S58" s="60"/>
      <c r="T58" s="61"/>
      <c r="U58" s="100">
        <v>1</v>
      </c>
      <c r="V58" s="61"/>
      <c r="W58" s="48"/>
      <c r="X58" s="48"/>
      <c r="Y58" s="97">
        <f>SUM(R58:X58)</f>
        <v>1</v>
      </c>
    </row>
    <row r="59" spans="1:25" x14ac:dyDescent="0.2">
      <c r="A59" s="75" t="s">
        <v>285</v>
      </c>
      <c r="B59" s="75" t="s">
        <v>286</v>
      </c>
      <c r="C59" s="73" t="s">
        <v>25</v>
      </c>
      <c r="D59" s="74" t="s">
        <v>287</v>
      </c>
      <c r="E59" s="56">
        <v>1</v>
      </c>
      <c r="F59" s="56">
        <v>1</v>
      </c>
      <c r="G59" s="88"/>
      <c r="H59" s="87"/>
      <c r="I59" s="87"/>
      <c r="J59" s="52"/>
      <c r="K59" s="52"/>
      <c r="L59" s="97">
        <f t="shared" si="2"/>
        <v>2</v>
      </c>
      <c r="M59" s="41">
        <v>56</v>
      </c>
      <c r="N59" s="109" t="s">
        <v>317</v>
      </c>
      <c r="O59" s="109" t="s">
        <v>94</v>
      </c>
      <c r="P59" s="110" t="s">
        <v>54</v>
      </c>
      <c r="Q59" s="111" t="s">
        <v>190</v>
      </c>
      <c r="R59" s="60">
        <v>1</v>
      </c>
      <c r="S59" s="60">
        <v>1</v>
      </c>
      <c r="T59" s="61">
        <v>1</v>
      </c>
      <c r="U59" s="61"/>
      <c r="V59" s="61"/>
      <c r="W59" s="57"/>
      <c r="X59" s="48"/>
      <c r="Y59" s="97">
        <f>SUM(R59:X59)</f>
        <v>3</v>
      </c>
    </row>
    <row r="60" spans="1:25" x14ac:dyDescent="0.2">
      <c r="A60" s="75" t="s">
        <v>479</v>
      </c>
      <c r="B60" s="75" t="s">
        <v>421</v>
      </c>
      <c r="C60" s="73" t="s">
        <v>54</v>
      </c>
      <c r="D60" s="74" t="s">
        <v>480</v>
      </c>
      <c r="E60" s="56"/>
      <c r="F60" s="56"/>
      <c r="G60" s="87">
        <v>1</v>
      </c>
      <c r="H60" s="87"/>
      <c r="I60" s="87"/>
      <c r="J60" s="50"/>
      <c r="K60" s="50"/>
      <c r="L60" s="97">
        <f t="shared" si="2"/>
        <v>1</v>
      </c>
      <c r="M60" s="41">
        <v>57</v>
      </c>
      <c r="N60" s="109" t="s">
        <v>321</v>
      </c>
      <c r="O60" s="109" t="s">
        <v>322</v>
      </c>
      <c r="P60" s="110" t="s">
        <v>21</v>
      </c>
      <c r="Q60" s="111" t="s">
        <v>323</v>
      </c>
      <c r="R60" s="60">
        <v>1</v>
      </c>
      <c r="S60" s="60"/>
      <c r="T60" s="61"/>
      <c r="U60" s="100"/>
      <c r="V60" s="61"/>
      <c r="W60" s="48"/>
      <c r="X60" s="48"/>
      <c r="Y60" s="97">
        <f>SUM(R60:X60)</f>
        <v>1</v>
      </c>
    </row>
    <row r="61" spans="1:25" x14ac:dyDescent="0.2">
      <c r="A61" s="75" t="s">
        <v>36</v>
      </c>
      <c r="B61" s="75" t="s">
        <v>37</v>
      </c>
      <c r="C61" s="73" t="s">
        <v>17</v>
      </c>
      <c r="D61" s="74" t="s">
        <v>38</v>
      </c>
      <c r="E61" s="56">
        <v>1</v>
      </c>
      <c r="F61" s="56">
        <v>1</v>
      </c>
      <c r="G61" s="87">
        <v>1</v>
      </c>
      <c r="H61" s="87">
        <v>1</v>
      </c>
      <c r="I61" s="87">
        <v>1</v>
      </c>
      <c r="J61" s="50"/>
      <c r="K61" s="50"/>
      <c r="L61" s="97">
        <f t="shared" si="2"/>
        <v>5</v>
      </c>
      <c r="M61" s="41">
        <v>58</v>
      </c>
      <c r="N61" s="109" t="s">
        <v>327</v>
      </c>
      <c r="O61" s="109" t="s">
        <v>328</v>
      </c>
      <c r="P61" s="110" t="s">
        <v>21</v>
      </c>
      <c r="Q61" s="111" t="s">
        <v>101</v>
      </c>
      <c r="R61" s="60"/>
      <c r="S61" s="60">
        <v>1</v>
      </c>
      <c r="T61" s="61">
        <v>1</v>
      </c>
      <c r="U61" s="61"/>
      <c r="V61" s="61"/>
      <c r="W61" s="48"/>
      <c r="X61" s="48"/>
      <c r="Y61" s="97">
        <f>SUM(R61:X61)</f>
        <v>2</v>
      </c>
    </row>
    <row r="62" spans="1:25" x14ac:dyDescent="0.2">
      <c r="A62" s="75" t="s">
        <v>43</v>
      </c>
      <c r="B62" s="75" t="s">
        <v>44</v>
      </c>
      <c r="C62" s="73" t="s">
        <v>25</v>
      </c>
      <c r="D62" s="74" t="s">
        <v>45</v>
      </c>
      <c r="E62" s="56">
        <v>1</v>
      </c>
      <c r="F62" s="56">
        <v>1</v>
      </c>
      <c r="G62" s="87">
        <v>1</v>
      </c>
      <c r="H62" s="87">
        <v>1</v>
      </c>
      <c r="I62" s="87"/>
      <c r="J62" s="50"/>
      <c r="K62" s="50"/>
      <c r="L62" s="97">
        <f t="shared" si="2"/>
        <v>4</v>
      </c>
      <c r="M62" s="41">
        <v>59</v>
      </c>
      <c r="N62" s="109" t="s">
        <v>331</v>
      </c>
      <c r="O62" s="109" t="s">
        <v>332</v>
      </c>
      <c r="P62" s="110" t="s">
        <v>25</v>
      </c>
      <c r="Q62" s="111" t="s">
        <v>61</v>
      </c>
      <c r="R62" s="60">
        <v>1</v>
      </c>
      <c r="S62" s="60">
        <v>1</v>
      </c>
      <c r="T62" s="61"/>
      <c r="U62" s="100"/>
      <c r="V62" s="61"/>
      <c r="W62" s="48"/>
      <c r="X62" s="48"/>
      <c r="Y62" s="97">
        <f>SUM(R62:X62)</f>
        <v>2</v>
      </c>
    </row>
    <row r="63" spans="1:25" x14ac:dyDescent="0.2">
      <c r="A63" s="75" t="s">
        <v>481</v>
      </c>
      <c r="B63" s="75" t="s">
        <v>482</v>
      </c>
      <c r="C63" s="73" t="s">
        <v>25</v>
      </c>
      <c r="D63" s="74" t="s">
        <v>483</v>
      </c>
      <c r="E63" s="56">
        <v>1</v>
      </c>
      <c r="F63" s="56"/>
      <c r="G63" s="88"/>
      <c r="H63" s="87"/>
      <c r="I63" s="87"/>
      <c r="J63" s="50"/>
      <c r="K63" s="50"/>
      <c r="L63" s="97">
        <f t="shared" si="2"/>
        <v>1</v>
      </c>
      <c r="M63" s="41">
        <v>60</v>
      </c>
      <c r="N63" s="109" t="s">
        <v>336</v>
      </c>
      <c r="O63" s="109" t="s">
        <v>337</v>
      </c>
      <c r="P63" s="110" t="s">
        <v>312</v>
      </c>
      <c r="Q63" s="111" t="s">
        <v>338</v>
      </c>
      <c r="R63" s="60">
        <v>1</v>
      </c>
      <c r="S63" s="60"/>
      <c r="T63" s="61"/>
      <c r="U63" s="100"/>
      <c r="V63" s="61"/>
      <c r="W63" s="48"/>
      <c r="X63" s="48"/>
      <c r="Y63" s="97">
        <f>SUM(R63:X63)</f>
        <v>1</v>
      </c>
    </row>
    <row r="64" spans="1:25" x14ac:dyDescent="0.2">
      <c r="A64" s="75" t="s">
        <v>291</v>
      </c>
      <c r="B64" s="75" t="s">
        <v>292</v>
      </c>
      <c r="C64" s="73" t="s">
        <v>25</v>
      </c>
      <c r="D64" s="74" t="s">
        <v>293</v>
      </c>
      <c r="E64" s="56">
        <v>1</v>
      </c>
      <c r="F64" s="56">
        <v>1</v>
      </c>
      <c r="G64" s="88"/>
      <c r="H64" s="87"/>
      <c r="I64" s="87">
        <v>1</v>
      </c>
      <c r="J64" s="50"/>
      <c r="K64" s="50"/>
      <c r="L64" s="97">
        <f t="shared" si="2"/>
        <v>3</v>
      </c>
      <c r="M64" s="41">
        <v>61</v>
      </c>
      <c r="N64" s="167" t="s">
        <v>342</v>
      </c>
      <c r="O64" s="167" t="s">
        <v>343</v>
      </c>
      <c r="P64" s="168" t="s">
        <v>54</v>
      </c>
      <c r="Q64" s="74" t="s">
        <v>344</v>
      </c>
      <c r="R64" s="60">
        <v>1</v>
      </c>
      <c r="S64" s="60">
        <v>1</v>
      </c>
      <c r="T64" s="61">
        <v>1</v>
      </c>
      <c r="U64" s="61">
        <v>1</v>
      </c>
      <c r="V64" s="61"/>
      <c r="W64" s="48"/>
      <c r="X64" s="48"/>
      <c r="Y64" s="97">
        <f>SUM(R64:X64)</f>
        <v>4</v>
      </c>
    </row>
    <row r="65" spans="1:25" x14ac:dyDescent="0.2">
      <c r="A65" s="75" t="s">
        <v>296</v>
      </c>
      <c r="B65" s="75" t="s">
        <v>297</v>
      </c>
      <c r="C65" s="73" t="s">
        <v>17</v>
      </c>
      <c r="D65" s="74" t="s">
        <v>298</v>
      </c>
      <c r="E65" s="56"/>
      <c r="F65" s="56">
        <v>1</v>
      </c>
      <c r="G65" s="87"/>
      <c r="H65" s="87">
        <v>1</v>
      </c>
      <c r="I65" s="87"/>
      <c r="J65" s="52"/>
      <c r="K65" s="52"/>
      <c r="L65" s="97">
        <f t="shared" si="2"/>
        <v>2</v>
      </c>
      <c r="M65" s="41">
        <v>62</v>
      </c>
      <c r="N65" s="72" t="s">
        <v>348</v>
      </c>
      <c r="O65" s="72" t="s">
        <v>349</v>
      </c>
      <c r="P65" s="110" t="s">
        <v>21</v>
      </c>
      <c r="Q65" s="74" t="s">
        <v>350</v>
      </c>
      <c r="R65" s="60"/>
      <c r="S65" s="60">
        <v>1</v>
      </c>
      <c r="T65" s="61"/>
      <c r="U65" s="100"/>
      <c r="V65" s="61"/>
      <c r="W65" s="48"/>
      <c r="X65" s="48"/>
      <c r="Y65" s="97">
        <f>SUM(R65:X65)</f>
        <v>1</v>
      </c>
    </row>
    <row r="66" spans="1:25" x14ac:dyDescent="0.2">
      <c r="A66" s="75" t="s">
        <v>484</v>
      </c>
      <c r="B66" s="75" t="s">
        <v>8</v>
      </c>
      <c r="C66" s="73" t="s">
        <v>17</v>
      </c>
      <c r="D66" s="74" t="s">
        <v>485</v>
      </c>
      <c r="E66" s="56">
        <v>1</v>
      </c>
      <c r="F66" s="56"/>
      <c r="G66" s="56"/>
      <c r="H66" s="105"/>
      <c r="I66" s="105"/>
      <c r="J66" s="52"/>
      <c r="K66" s="52"/>
      <c r="L66" s="97">
        <f t="shared" si="2"/>
        <v>1</v>
      </c>
      <c r="M66" s="41">
        <v>63</v>
      </c>
      <c r="N66" s="72" t="s">
        <v>354</v>
      </c>
      <c r="O66" s="72" t="s">
        <v>355</v>
      </c>
      <c r="P66" s="110" t="s">
        <v>25</v>
      </c>
      <c r="Q66" s="74" t="s">
        <v>55</v>
      </c>
      <c r="R66" s="60">
        <v>1</v>
      </c>
      <c r="S66" s="60">
        <v>1</v>
      </c>
      <c r="T66" s="61">
        <v>1</v>
      </c>
      <c r="U66" s="61">
        <v>1</v>
      </c>
      <c r="V66" s="61">
        <v>1</v>
      </c>
      <c r="W66" s="48"/>
      <c r="X66" s="48"/>
      <c r="Y66" s="97">
        <f>SUM(R66:X66)</f>
        <v>5</v>
      </c>
    </row>
    <row r="67" spans="1:25" x14ac:dyDescent="0.2">
      <c r="A67" s="75" t="s">
        <v>288</v>
      </c>
      <c r="B67" s="75" t="s">
        <v>302</v>
      </c>
      <c r="C67" s="73" t="s">
        <v>9</v>
      </c>
      <c r="D67" s="74" t="s">
        <v>303</v>
      </c>
      <c r="E67" s="56">
        <v>1</v>
      </c>
      <c r="F67" s="56">
        <v>1</v>
      </c>
      <c r="G67" s="88"/>
      <c r="H67" s="87"/>
      <c r="I67" s="87"/>
      <c r="J67" s="52"/>
      <c r="K67" s="52"/>
      <c r="L67" s="97">
        <f t="shared" si="2"/>
        <v>2</v>
      </c>
      <c r="M67" s="41">
        <v>64</v>
      </c>
      <c r="N67" s="72" t="s">
        <v>359</v>
      </c>
      <c r="O67" s="72" t="s">
        <v>360</v>
      </c>
      <c r="P67" s="110" t="s">
        <v>13</v>
      </c>
      <c r="Q67" s="74" t="s">
        <v>361</v>
      </c>
      <c r="R67" s="60"/>
      <c r="S67" s="60">
        <v>1</v>
      </c>
      <c r="T67" s="61"/>
      <c r="U67" s="100"/>
      <c r="V67" s="61"/>
      <c r="W67" s="48"/>
      <c r="X67" s="48"/>
      <c r="Y67" s="97">
        <f>SUM(R67:X67)</f>
        <v>1</v>
      </c>
    </row>
    <row r="68" spans="1:25" x14ac:dyDescent="0.2">
      <c r="A68" s="75" t="s">
        <v>114</v>
      </c>
      <c r="B68" s="75" t="s">
        <v>115</v>
      </c>
      <c r="C68" s="73" t="s">
        <v>17</v>
      </c>
      <c r="D68" s="74" t="s">
        <v>116</v>
      </c>
      <c r="E68" s="56">
        <v>1</v>
      </c>
      <c r="F68" s="56">
        <v>1</v>
      </c>
      <c r="G68" s="88"/>
      <c r="H68" s="87">
        <v>1</v>
      </c>
      <c r="I68" s="87">
        <v>1</v>
      </c>
      <c r="J68" s="52"/>
      <c r="K68" s="52"/>
      <c r="L68" s="97">
        <f t="shared" si="2"/>
        <v>4</v>
      </c>
      <c r="M68" s="41">
        <v>65</v>
      </c>
      <c r="N68" s="72" t="s">
        <v>365</v>
      </c>
      <c r="O68" s="72" t="s">
        <v>366</v>
      </c>
      <c r="P68" s="110" t="s">
        <v>25</v>
      </c>
      <c r="Q68" s="74" t="s">
        <v>361</v>
      </c>
      <c r="R68" s="60">
        <v>1</v>
      </c>
      <c r="S68" s="60">
        <v>1</v>
      </c>
      <c r="T68" s="61">
        <v>1</v>
      </c>
      <c r="U68" s="61"/>
      <c r="V68" s="91">
        <v>1</v>
      </c>
      <c r="W68" s="48"/>
      <c r="X68" s="48"/>
      <c r="Y68" s="97">
        <f>SUM(R68:X68)</f>
        <v>4</v>
      </c>
    </row>
    <row r="69" spans="1:25" x14ac:dyDescent="0.2">
      <c r="A69" s="75" t="s">
        <v>307</v>
      </c>
      <c r="B69" s="75" t="s">
        <v>308</v>
      </c>
      <c r="C69" s="73" t="s">
        <v>154</v>
      </c>
      <c r="D69" s="74" t="s">
        <v>309</v>
      </c>
      <c r="E69" s="56"/>
      <c r="F69" s="56">
        <v>1</v>
      </c>
      <c r="G69" s="87"/>
      <c r="H69" s="87">
        <v>1</v>
      </c>
      <c r="I69" s="87"/>
      <c r="J69" s="50"/>
      <c r="K69" s="50"/>
      <c r="L69" s="97">
        <f t="shared" si="2"/>
        <v>2</v>
      </c>
      <c r="M69" s="41">
        <v>66</v>
      </c>
      <c r="N69" s="72" t="s">
        <v>370</v>
      </c>
      <c r="O69" s="72" t="s">
        <v>72</v>
      </c>
      <c r="P69" s="110" t="s">
        <v>17</v>
      </c>
      <c r="Q69" s="74" t="s">
        <v>371</v>
      </c>
      <c r="R69" s="60">
        <v>1</v>
      </c>
      <c r="S69" s="60">
        <v>1</v>
      </c>
      <c r="T69" s="61">
        <v>1</v>
      </c>
      <c r="U69" s="61">
        <v>1</v>
      </c>
      <c r="V69" s="61">
        <v>1</v>
      </c>
      <c r="W69" s="48"/>
      <c r="X69" s="48"/>
      <c r="Y69" s="97">
        <f>SUM(R69:X69)</f>
        <v>5</v>
      </c>
    </row>
    <row r="70" spans="1:25" x14ac:dyDescent="0.2">
      <c r="A70" s="75" t="s">
        <v>120</v>
      </c>
      <c r="B70" s="75" t="s">
        <v>121</v>
      </c>
      <c r="C70" s="73" t="s">
        <v>17</v>
      </c>
      <c r="D70" s="74" t="s">
        <v>122</v>
      </c>
      <c r="E70" s="56"/>
      <c r="F70" s="56">
        <v>1</v>
      </c>
      <c r="G70" s="87">
        <v>1</v>
      </c>
      <c r="H70" s="87">
        <v>1</v>
      </c>
      <c r="I70" s="87"/>
      <c r="J70" s="50"/>
      <c r="K70" s="50"/>
      <c r="L70" s="97">
        <f t="shared" si="2"/>
        <v>3</v>
      </c>
      <c r="M70" s="41">
        <v>67</v>
      </c>
      <c r="N70" s="72" t="s">
        <v>375</v>
      </c>
      <c r="O70" s="72" t="s">
        <v>376</v>
      </c>
      <c r="P70" s="110" t="s">
        <v>54</v>
      </c>
      <c r="Q70" s="74" t="s">
        <v>224</v>
      </c>
      <c r="R70" s="60"/>
      <c r="S70" s="60">
        <v>1</v>
      </c>
      <c r="T70" s="61"/>
      <c r="U70" s="100"/>
      <c r="V70" s="61"/>
      <c r="W70" s="48"/>
      <c r="X70" s="48"/>
      <c r="Y70" s="97">
        <f>SUM(R70:X70)</f>
        <v>1</v>
      </c>
    </row>
    <row r="71" spans="1:25" ht="12.75" customHeight="1" x14ac:dyDescent="0.2">
      <c r="A71" s="75" t="s">
        <v>49</v>
      </c>
      <c r="B71" s="75" t="s">
        <v>50</v>
      </c>
      <c r="C71" s="73" t="s">
        <v>17</v>
      </c>
      <c r="D71" s="74" t="s">
        <v>51</v>
      </c>
      <c r="E71" s="56">
        <v>1</v>
      </c>
      <c r="F71" s="56">
        <v>1</v>
      </c>
      <c r="G71" s="87">
        <v>1</v>
      </c>
      <c r="H71" s="87">
        <v>1</v>
      </c>
      <c r="I71" s="87">
        <v>1</v>
      </c>
      <c r="J71" s="50"/>
      <c r="K71" s="50"/>
      <c r="L71" s="97">
        <f t="shared" si="2"/>
        <v>5</v>
      </c>
      <c r="M71" s="41">
        <v>68</v>
      </c>
      <c r="N71" s="72" t="s">
        <v>380</v>
      </c>
      <c r="O71" s="72" t="s">
        <v>381</v>
      </c>
      <c r="P71" s="110" t="s">
        <v>21</v>
      </c>
      <c r="Q71" s="74" t="s">
        <v>178</v>
      </c>
      <c r="R71" s="60">
        <v>1</v>
      </c>
      <c r="S71" s="60">
        <v>1</v>
      </c>
      <c r="T71" s="61"/>
      <c r="U71" s="100"/>
      <c r="V71" s="61"/>
      <c r="W71" s="48"/>
      <c r="X71" s="48"/>
      <c r="Y71" s="97">
        <f>SUM(R71:X71)</f>
        <v>2</v>
      </c>
    </row>
    <row r="72" spans="1:25" x14ac:dyDescent="0.2">
      <c r="A72" s="75" t="s">
        <v>125</v>
      </c>
      <c r="B72" s="75" t="s">
        <v>126</v>
      </c>
      <c r="C72" s="73" t="s">
        <v>25</v>
      </c>
      <c r="D72" s="74" t="s">
        <v>127</v>
      </c>
      <c r="E72" s="56">
        <v>1</v>
      </c>
      <c r="F72" s="56">
        <v>1</v>
      </c>
      <c r="G72" s="87">
        <v>1</v>
      </c>
      <c r="H72" s="87"/>
      <c r="I72" s="87">
        <v>1</v>
      </c>
      <c r="J72" s="50"/>
      <c r="K72" s="50"/>
      <c r="L72" s="97">
        <f t="shared" si="2"/>
        <v>4</v>
      </c>
      <c r="M72" s="41">
        <v>69</v>
      </c>
      <c r="N72" s="72" t="s">
        <v>385</v>
      </c>
      <c r="O72" s="72" t="s">
        <v>386</v>
      </c>
      <c r="P72" s="110" t="s">
        <v>25</v>
      </c>
      <c r="Q72" s="74" t="s">
        <v>142</v>
      </c>
      <c r="R72" s="60"/>
      <c r="S72" s="60">
        <v>1</v>
      </c>
      <c r="T72" s="61"/>
      <c r="U72" s="100">
        <v>1</v>
      </c>
      <c r="V72" s="61">
        <v>1</v>
      </c>
      <c r="W72" s="48"/>
      <c r="X72" s="48"/>
      <c r="Y72" s="97">
        <f>SUM(R72:X72)</f>
        <v>3</v>
      </c>
    </row>
    <row r="73" spans="1:25" x14ac:dyDescent="0.2">
      <c r="A73" s="75" t="s">
        <v>486</v>
      </c>
      <c r="B73" s="75" t="s">
        <v>482</v>
      </c>
      <c r="C73" s="73" t="s">
        <v>9</v>
      </c>
      <c r="D73" s="74" t="s">
        <v>487</v>
      </c>
      <c r="E73" s="56"/>
      <c r="F73" s="56">
        <v>1</v>
      </c>
      <c r="G73" s="87"/>
      <c r="H73" s="87"/>
      <c r="I73" s="87">
        <v>1</v>
      </c>
      <c r="J73" s="50"/>
      <c r="K73" s="50"/>
      <c r="L73" s="97">
        <f t="shared" si="2"/>
        <v>2</v>
      </c>
      <c r="M73" s="41">
        <v>70</v>
      </c>
      <c r="N73" s="72" t="s">
        <v>389</v>
      </c>
      <c r="O73" s="72" t="s">
        <v>72</v>
      </c>
      <c r="P73" s="110" t="s">
        <v>21</v>
      </c>
      <c r="Q73" s="74" t="s">
        <v>390</v>
      </c>
      <c r="R73" s="58"/>
      <c r="S73" s="60">
        <v>1</v>
      </c>
      <c r="T73" s="61">
        <v>1</v>
      </c>
      <c r="U73" s="61"/>
      <c r="V73" s="61">
        <v>1</v>
      </c>
      <c r="W73" s="48"/>
      <c r="X73" s="48"/>
      <c r="Y73" s="97">
        <f>SUM(R73:X73)</f>
        <v>3</v>
      </c>
    </row>
    <row r="74" spans="1:25" x14ac:dyDescent="0.2">
      <c r="A74" s="75" t="s">
        <v>488</v>
      </c>
      <c r="B74" s="75" t="s">
        <v>489</v>
      </c>
      <c r="C74" s="73" t="s">
        <v>41</v>
      </c>
      <c r="D74" s="74" t="s">
        <v>490</v>
      </c>
      <c r="E74" s="56"/>
      <c r="F74" s="56">
        <v>1</v>
      </c>
      <c r="G74" s="87"/>
      <c r="H74" s="87"/>
      <c r="I74" s="87"/>
      <c r="J74" s="50"/>
      <c r="K74" s="50"/>
      <c r="L74" s="97">
        <f t="shared" si="2"/>
        <v>1</v>
      </c>
      <c r="M74" s="41">
        <v>71</v>
      </c>
      <c r="N74" s="72" t="s">
        <v>394</v>
      </c>
      <c r="O74" s="72" t="s">
        <v>395</v>
      </c>
      <c r="P74" s="110" t="s">
        <v>54</v>
      </c>
      <c r="Q74" s="74" t="s">
        <v>396</v>
      </c>
      <c r="R74" s="60">
        <v>1</v>
      </c>
      <c r="S74" s="60">
        <v>1</v>
      </c>
      <c r="T74" s="61"/>
      <c r="U74" s="100"/>
      <c r="V74" s="61"/>
      <c r="W74" s="48"/>
      <c r="X74" s="48"/>
      <c r="Y74" s="97">
        <f>SUM(R74:X74)</f>
        <v>2</v>
      </c>
    </row>
    <row r="75" spans="1:25" x14ac:dyDescent="0.2">
      <c r="A75" s="75" t="s">
        <v>131</v>
      </c>
      <c r="B75" s="75" t="s">
        <v>132</v>
      </c>
      <c r="C75" s="73" t="s">
        <v>17</v>
      </c>
      <c r="D75" s="74" t="s">
        <v>133</v>
      </c>
      <c r="E75" s="56"/>
      <c r="F75" s="56">
        <v>1</v>
      </c>
      <c r="G75" s="87">
        <v>1</v>
      </c>
      <c r="H75" s="87">
        <v>1</v>
      </c>
      <c r="I75" s="87"/>
      <c r="J75" s="50"/>
      <c r="K75" s="50"/>
      <c r="L75" s="97">
        <f t="shared" si="2"/>
        <v>3</v>
      </c>
      <c r="M75" s="41">
        <v>72</v>
      </c>
      <c r="N75" s="72" t="s">
        <v>400</v>
      </c>
      <c r="O75" s="72" t="s">
        <v>401</v>
      </c>
      <c r="P75" s="110" t="s">
        <v>25</v>
      </c>
      <c r="Q75" s="74" t="s">
        <v>402</v>
      </c>
      <c r="R75" s="60">
        <v>1</v>
      </c>
      <c r="S75" s="60">
        <v>1</v>
      </c>
      <c r="T75" s="61">
        <v>1</v>
      </c>
      <c r="U75" s="61">
        <v>1</v>
      </c>
      <c r="V75" s="61">
        <v>1</v>
      </c>
      <c r="W75" s="48"/>
      <c r="X75" s="48"/>
      <c r="Y75" s="97">
        <f>SUM(R75:X75)</f>
        <v>5</v>
      </c>
    </row>
    <row r="76" spans="1:25" x14ac:dyDescent="0.2">
      <c r="A76" s="75" t="s">
        <v>491</v>
      </c>
      <c r="B76" s="75" t="s">
        <v>418</v>
      </c>
      <c r="C76" s="73" t="s">
        <v>17</v>
      </c>
      <c r="D76" s="74" t="s">
        <v>492</v>
      </c>
      <c r="E76" s="56">
        <v>1</v>
      </c>
      <c r="F76" s="56"/>
      <c r="G76" s="88"/>
      <c r="H76" s="87"/>
      <c r="I76" s="87"/>
      <c r="J76" s="50"/>
      <c r="K76" s="50"/>
      <c r="L76" s="97">
        <f t="shared" si="2"/>
        <v>1</v>
      </c>
      <c r="M76" s="41">
        <v>73</v>
      </c>
      <c r="N76" s="72" t="s">
        <v>406</v>
      </c>
      <c r="O76" s="72" t="s">
        <v>407</v>
      </c>
      <c r="P76" s="110" t="s">
        <v>25</v>
      </c>
      <c r="Q76" s="74" t="s">
        <v>408</v>
      </c>
      <c r="R76" s="60">
        <v>1</v>
      </c>
      <c r="S76" s="60"/>
      <c r="T76" s="61"/>
      <c r="U76" s="100">
        <v>1</v>
      </c>
      <c r="V76" s="61"/>
      <c r="W76" s="48"/>
      <c r="X76" s="48"/>
      <c r="Y76" s="97">
        <f>SUM(R76:X76)</f>
        <v>2</v>
      </c>
    </row>
    <row r="77" spans="1:25" x14ac:dyDescent="0.2">
      <c r="A77" s="75" t="s">
        <v>493</v>
      </c>
      <c r="B77" s="75" t="s">
        <v>494</v>
      </c>
      <c r="C77" s="73" t="s">
        <v>25</v>
      </c>
      <c r="D77" s="74" t="s">
        <v>495</v>
      </c>
      <c r="E77" s="56">
        <v>1</v>
      </c>
      <c r="F77" s="56"/>
      <c r="G77" s="88"/>
      <c r="H77" s="87"/>
      <c r="I77" s="87"/>
      <c r="J77" s="50"/>
      <c r="K77" s="50"/>
      <c r="L77" s="97">
        <f t="shared" si="2"/>
        <v>1</v>
      </c>
      <c r="M77" s="41">
        <v>74</v>
      </c>
    </row>
    <row r="78" spans="1:25" x14ac:dyDescent="0.2">
      <c r="A78" s="75" t="s">
        <v>314</v>
      </c>
      <c r="B78" s="75" t="s">
        <v>315</v>
      </c>
      <c r="C78" s="73" t="s">
        <v>25</v>
      </c>
      <c r="D78" s="74" t="s">
        <v>316</v>
      </c>
      <c r="E78" s="56">
        <v>1</v>
      </c>
      <c r="F78" s="56">
        <v>1</v>
      </c>
      <c r="G78" s="88"/>
      <c r="H78" s="87"/>
      <c r="I78" s="87">
        <v>1</v>
      </c>
      <c r="J78" s="50"/>
      <c r="K78" s="50"/>
      <c r="L78" s="97">
        <f t="shared" si="2"/>
        <v>3</v>
      </c>
      <c r="M78" s="41">
        <v>75</v>
      </c>
    </row>
    <row r="79" spans="1:25" x14ac:dyDescent="0.2">
      <c r="A79" s="75" t="s">
        <v>318</v>
      </c>
      <c r="B79" s="75" t="s">
        <v>319</v>
      </c>
      <c r="C79" s="73" t="s">
        <v>25</v>
      </c>
      <c r="D79" s="74" t="s">
        <v>320</v>
      </c>
      <c r="E79" s="56">
        <v>1</v>
      </c>
      <c r="F79" s="56">
        <v>1</v>
      </c>
      <c r="G79" s="87"/>
      <c r="H79" s="87">
        <v>1</v>
      </c>
      <c r="I79" s="87">
        <v>1</v>
      </c>
      <c r="J79" s="50"/>
      <c r="K79" s="50"/>
      <c r="L79" s="97">
        <f>SUM(E79:K79)</f>
        <v>4</v>
      </c>
      <c r="M79" s="41">
        <v>76</v>
      </c>
    </row>
    <row r="80" spans="1:25" x14ac:dyDescent="0.2">
      <c r="A80" s="75" t="s">
        <v>56</v>
      </c>
      <c r="B80" s="75" t="s">
        <v>57</v>
      </c>
      <c r="C80" s="73" t="s">
        <v>25</v>
      </c>
      <c r="D80" s="74" t="s">
        <v>58</v>
      </c>
      <c r="E80" s="56">
        <v>1</v>
      </c>
      <c r="F80" s="56">
        <v>1</v>
      </c>
      <c r="G80" s="87">
        <v>1</v>
      </c>
      <c r="H80" s="87">
        <v>1</v>
      </c>
      <c r="I80" s="89"/>
      <c r="J80" s="50"/>
      <c r="K80" s="50"/>
      <c r="L80" s="97">
        <f t="shared" ref="L80:L96" si="3">SUM(E80:K80)</f>
        <v>4</v>
      </c>
      <c r="M80" s="41">
        <v>77</v>
      </c>
    </row>
    <row r="81" spans="1:13" x14ac:dyDescent="0.2">
      <c r="A81" s="75" t="s">
        <v>324</v>
      </c>
      <c r="B81" s="75" t="s">
        <v>325</v>
      </c>
      <c r="C81" s="73" t="s">
        <v>13</v>
      </c>
      <c r="D81" s="74" t="s">
        <v>326</v>
      </c>
      <c r="E81" s="56"/>
      <c r="F81" s="56"/>
      <c r="G81" s="87">
        <v>1</v>
      </c>
      <c r="H81" s="87">
        <v>1</v>
      </c>
      <c r="I81" s="87"/>
      <c r="J81" s="53"/>
      <c r="K81" s="53"/>
      <c r="L81" s="97">
        <f t="shared" si="3"/>
        <v>2</v>
      </c>
      <c r="M81" s="41">
        <v>78</v>
      </c>
    </row>
    <row r="82" spans="1:13" x14ac:dyDescent="0.2">
      <c r="A82" s="75" t="s">
        <v>329</v>
      </c>
      <c r="B82" s="75" t="s">
        <v>163</v>
      </c>
      <c r="C82" s="73" t="s">
        <v>9</v>
      </c>
      <c r="D82" s="74" t="s">
        <v>330</v>
      </c>
      <c r="E82" s="56">
        <v>1</v>
      </c>
      <c r="F82" s="56"/>
      <c r="G82" s="87">
        <v>1</v>
      </c>
      <c r="H82" s="87"/>
      <c r="I82" s="87"/>
      <c r="J82" s="51"/>
      <c r="K82" s="51"/>
      <c r="L82" s="97">
        <f t="shared" si="3"/>
        <v>2</v>
      </c>
      <c r="M82" s="41">
        <v>79</v>
      </c>
    </row>
    <row r="83" spans="1:13" x14ac:dyDescent="0.2">
      <c r="A83" s="75" t="s">
        <v>62</v>
      </c>
      <c r="B83" s="75" t="s">
        <v>63</v>
      </c>
      <c r="C83" s="73" t="s">
        <v>25</v>
      </c>
      <c r="D83" s="74" t="s">
        <v>64</v>
      </c>
      <c r="E83" s="56">
        <v>1</v>
      </c>
      <c r="F83" s="56">
        <v>1</v>
      </c>
      <c r="G83" s="87">
        <v>1</v>
      </c>
      <c r="H83" s="87">
        <v>1</v>
      </c>
      <c r="I83" s="87">
        <v>1</v>
      </c>
      <c r="J83" s="50"/>
      <c r="K83" s="50"/>
      <c r="L83" s="97">
        <f t="shared" si="3"/>
        <v>5</v>
      </c>
      <c r="M83" s="41">
        <v>80</v>
      </c>
    </row>
    <row r="84" spans="1:13" x14ac:dyDescent="0.2">
      <c r="A84" s="75" t="s">
        <v>496</v>
      </c>
      <c r="B84" s="75" t="s">
        <v>497</v>
      </c>
      <c r="C84" s="73" t="s">
        <v>25</v>
      </c>
      <c r="D84" s="74" t="s">
        <v>498</v>
      </c>
      <c r="E84" s="56">
        <v>1</v>
      </c>
      <c r="F84" s="56"/>
      <c r="G84" s="88"/>
      <c r="H84" s="87"/>
      <c r="I84" s="89"/>
      <c r="J84" s="50"/>
      <c r="K84" s="50"/>
      <c r="L84" s="97">
        <f t="shared" si="3"/>
        <v>1</v>
      </c>
      <c r="M84" s="41">
        <v>81</v>
      </c>
    </row>
    <row r="85" spans="1:13" x14ac:dyDescent="0.2">
      <c r="A85" s="75" t="s">
        <v>68</v>
      </c>
      <c r="B85" s="112" t="s">
        <v>69</v>
      </c>
      <c r="C85" s="107" t="s">
        <v>25</v>
      </c>
      <c r="D85" s="108" t="s">
        <v>70</v>
      </c>
      <c r="E85" s="56">
        <v>1</v>
      </c>
      <c r="F85" s="56">
        <v>1</v>
      </c>
      <c r="G85" s="87">
        <v>1</v>
      </c>
      <c r="H85" s="87">
        <v>1</v>
      </c>
      <c r="I85" s="87">
        <v>1</v>
      </c>
      <c r="J85" s="50"/>
      <c r="K85" s="50"/>
      <c r="L85" s="97">
        <f t="shared" si="3"/>
        <v>5</v>
      </c>
      <c r="M85" s="41">
        <v>82</v>
      </c>
    </row>
    <row r="86" spans="1:13" x14ac:dyDescent="0.2">
      <c r="A86" s="127" t="s">
        <v>499</v>
      </c>
      <c r="B86" s="113" t="s">
        <v>500</v>
      </c>
      <c r="C86" s="110" t="s">
        <v>54</v>
      </c>
      <c r="D86" s="111" t="s">
        <v>501</v>
      </c>
      <c r="E86" s="56"/>
      <c r="F86" s="56">
        <v>1</v>
      </c>
      <c r="G86" s="87"/>
      <c r="H86" s="87"/>
      <c r="I86" s="87"/>
      <c r="J86" s="52"/>
      <c r="K86" s="52"/>
      <c r="L86" s="97">
        <f t="shared" si="3"/>
        <v>1</v>
      </c>
      <c r="M86" s="41">
        <v>83</v>
      </c>
    </row>
    <row r="87" spans="1:13" x14ac:dyDescent="0.2">
      <c r="A87" s="127" t="s">
        <v>333</v>
      </c>
      <c r="B87" s="113" t="s">
        <v>334</v>
      </c>
      <c r="C87" s="110" t="s">
        <v>21</v>
      </c>
      <c r="D87" s="111" t="s">
        <v>335</v>
      </c>
      <c r="E87" s="56">
        <v>1</v>
      </c>
      <c r="F87" s="56"/>
      <c r="G87" s="87">
        <v>1</v>
      </c>
      <c r="H87" s="87"/>
      <c r="I87" s="87"/>
      <c r="J87" s="50"/>
      <c r="K87" s="50"/>
      <c r="L87" s="97">
        <f t="shared" si="3"/>
        <v>2</v>
      </c>
      <c r="M87" s="41">
        <v>84</v>
      </c>
    </row>
    <row r="88" spans="1:13" x14ac:dyDescent="0.2">
      <c r="A88" s="127" t="s">
        <v>502</v>
      </c>
      <c r="B88" s="113" t="s">
        <v>157</v>
      </c>
      <c r="C88" s="110" t="s">
        <v>54</v>
      </c>
      <c r="D88" s="111" t="s">
        <v>503</v>
      </c>
      <c r="E88" s="56"/>
      <c r="F88" s="56">
        <v>1</v>
      </c>
      <c r="G88" s="87"/>
      <c r="H88" s="87"/>
      <c r="I88" s="87"/>
      <c r="J88" s="50"/>
      <c r="K88" s="50"/>
      <c r="L88" s="97">
        <f t="shared" si="3"/>
        <v>1</v>
      </c>
      <c r="M88" s="41">
        <v>85</v>
      </c>
    </row>
    <row r="89" spans="1:13" x14ac:dyDescent="0.2">
      <c r="A89" s="127" t="s">
        <v>504</v>
      </c>
      <c r="B89" s="113" t="s">
        <v>242</v>
      </c>
      <c r="C89" s="110" t="s">
        <v>312</v>
      </c>
      <c r="D89" s="111" t="s">
        <v>505</v>
      </c>
      <c r="E89" s="56">
        <v>1</v>
      </c>
      <c r="F89" s="56"/>
      <c r="G89" s="88"/>
      <c r="H89" s="87"/>
      <c r="I89" s="87"/>
      <c r="J89" s="50"/>
      <c r="K89" s="50"/>
      <c r="L89" s="97">
        <f t="shared" si="3"/>
        <v>1</v>
      </c>
      <c r="M89" s="41">
        <v>86</v>
      </c>
    </row>
    <row r="90" spans="1:13" x14ac:dyDescent="0.2">
      <c r="A90" s="127" t="s">
        <v>506</v>
      </c>
      <c r="B90" s="113" t="s">
        <v>220</v>
      </c>
      <c r="C90" s="110" t="s">
        <v>507</v>
      </c>
      <c r="D90" s="111" t="s">
        <v>508</v>
      </c>
      <c r="E90" s="56">
        <v>1</v>
      </c>
      <c r="F90" s="56"/>
      <c r="G90" s="88"/>
      <c r="H90" s="87"/>
      <c r="I90" s="87"/>
      <c r="J90" s="50"/>
      <c r="K90" s="50"/>
      <c r="L90" s="97">
        <f t="shared" si="3"/>
        <v>1</v>
      </c>
      <c r="M90" s="41">
        <v>87</v>
      </c>
    </row>
    <row r="91" spans="1:13" x14ac:dyDescent="0.2">
      <c r="A91" s="127" t="s">
        <v>339</v>
      </c>
      <c r="B91" s="113" t="s">
        <v>340</v>
      </c>
      <c r="C91" s="110" t="s">
        <v>54</v>
      </c>
      <c r="D91" s="111" t="s">
        <v>341</v>
      </c>
      <c r="E91" s="56">
        <v>1</v>
      </c>
      <c r="F91" s="56">
        <v>1</v>
      </c>
      <c r="G91" s="88"/>
      <c r="H91" s="87"/>
      <c r="I91" s="87"/>
      <c r="J91" s="50"/>
      <c r="K91" s="50"/>
      <c r="L91" s="97">
        <f t="shared" si="3"/>
        <v>2</v>
      </c>
      <c r="M91" s="41">
        <v>88</v>
      </c>
    </row>
    <row r="92" spans="1:13" x14ac:dyDescent="0.2">
      <c r="A92" s="127" t="s">
        <v>345</v>
      </c>
      <c r="B92" s="113" t="s">
        <v>346</v>
      </c>
      <c r="C92" s="110" t="s">
        <v>25</v>
      </c>
      <c r="D92" s="111" t="s">
        <v>347</v>
      </c>
      <c r="E92" s="56">
        <v>1</v>
      </c>
      <c r="F92" s="56">
        <v>1</v>
      </c>
      <c r="G92" s="88"/>
      <c r="H92" s="87"/>
      <c r="I92" s="166">
        <v>1</v>
      </c>
      <c r="J92" s="52"/>
      <c r="K92" s="52"/>
      <c r="L92" s="97">
        <f t="shared" si="3"/>
        <v>3</v>
      </c>
      <c r="M92" s="41">
        <v>89</v>
      </c>
    </row>
    <row r="93" spans="1:13" x14ac:dyDescent="0.2">
      <c r="A93" s="127" t="s">
        <v>351</v>
      </c>
      <c r="B93" s="113" t="s">
        <v>352</v>
      </c>
      <c r="C93" s="110" t="s">
        <v>9</v>
      </c>
      <c r="D93" s="111" t="s">
        <v>353</v>
      </c>
      <c r="E93" s="56"/>
      <c r="F93" s="56">
        <v>1</v>
      </c>
      <c r="G93" s="87"/>
      <c r="H93" s="87">
        <v>1</v>
      </c>
      <c r="I93" s="87">
        <v>1</v>
      </c>
      <c r="J93" s="52"/>
      <c r="K93" s="52"/>
      <c r="L93" s="97">
        <f t="shared" si="3"/>
        <v>3</v>
      </c>
      <c r="M93" s="41">
        <v>90</v>
      </c>
    </row>
    <row r="94" spans="1:13" x14ac:dyDescent="0.2">
      <c r="A94" s="127" t="s">
        <v>509</v>
      </c>
      <c r="B94" s="113" t="s">
        <v>510</v>
      </c>
      <c r="C94" s="110" t="s">
        <v>450</v>
      </c>
      <c r="D94" s="111" t="s">
        <v>511</v>
      </c>
      <c r="E94" s="56">
        <v>1</v>
      </c>
      <c r="F94" s="56"/>
      <c r="G94" s="88"/>
      <c r="H94" s="87"/>
      <c r="I94" s="87"/>
      <c r="J94" s="50"/>
      <c r="K94" s="50"/>
      <c r="L94" s="97">
        <f t="shared" si="3"/>
        <v>1</v>
      </c>
      <c r="M94" s="41">
        <v>91</v>
      </c>
    </row>
    <row r="95" spans="1:13" x14ac:dyDescent="0.2">
      <c r="A95" s="127" t="s">
        <v>356</v>
      </c>
      <c r="B95" s="113" t="s">
        <v>357</v>
      </c>
      <c r="C95" s="110" t="s">
        <v>21</v>
      </c>
      <c r="D95" s="111" t="s">
        <v>358</v>
      </c>
      <c r="E95" s="56">
        <v>1</v>
      </c>
      <c r="F95" s="56">
        <v>1</v>
      </c>
      <c r="G95" s="88"/>
      <c r="H95" s="87"/>
      <c r="I95" s="87"/>
      <c r="J95" s="50"/>
      <c r="K95" s="50"/>
      <c r="L95" s="97">
        <f t="shared" si="3"/>
        <v>2</v>
      </c>
      <c r="M95" s="41">
        <v>92</v>
      </c>
    </row>
    <row r="96" spans="1:13" x14ac:dyDescent="0.2">
      <c r="A96" s="127" t="s">
        <v>74</v>
      </c>
      <c r="B96" s="113" t="s">
        <v>75</v>
      </c>
      <c r="C96" s="110" t="s">
        <v>25</v>
      </c>
      <c r="D96" s="111" t="s">
        <v>76</v>
      </c>
      <c r="E96" s="56">
        <v>1</v>
      </c>
      <c r="F96" s="56">
        <v>1</v>
      </c>
      <c r="G96" s="87">
        <v>1</v>
      </c>
      <c r="H96" s="87">
        <v>1</v>
      </c>
      <c r="I96" s="87">
        <v>1</v>
      </c>
      <c r="J96" s="50"/>
      <c r="K96" s="50"/>
      <c r="L96" s="97">
        <f t="shared" si="3"/>
        <v>5</v>
      </c>
      <c r="M96" s="41">
        <v>93</v>
      </c>
    </row>
    <row r="97" spans="1:13" x14ac:dyDescent="0.2">
      <c r="A97" s="75" t="s">
        <v>362</v>
      </c>
      <c r="B97" s="75" t="s">
        <v>363</v>
      </c>
      <c r="C97" s="110" t="s">
        <v>25</v>
      </c>
      <c r="D97" s="74" t="s">
        <v>364</v>
      </c>
      <c r="E97" s="56">
        <v>1</v>
      </c>
      <c r="F97" s="56">
        <v>1</v>
      </c>
      <c r="G97" s="88"/>
      <c r="H97" s="87"/>
      <c r="I97" s="87"/>
      <c r="J97" s="50"/>
      <c r="K97" s="50"/>
      <c r="L97" s="33">
        <f>SUM(E97:K97)</f>
        <v>2</v>
      </c>
      <c r="M97" s="41">
        <v>94</v>
      </c>
    </row>
    <row r="98" spans="1:13" x14ac:dyDescent="0.2">
      <c r="A98" s="75" t="s">
        <v>512</v>
      </c>
      <c r="B98" s="75" t="s">
        <v>87</v>
      </c>
      <c r="C98" s="110" t="s">
        <v>507</v>
      </c>
      <c r="D98" s="74" t="s">
        <v>513</v>
      </c>
      <c r="E98" s="56">
        <v>1</v>
      </c>
      <c r="F98" s="56"/>
      <c r="G98" s="88"/>
      <c r="H98" s="87"/>
      <c r="I98" s="87"/>
      <c r="J98" s="50"/>
      <c r="K98" s="50"/>
      <c r="L98" s="33">
        <f>SUM(E98:K98)</f>
        <v>1</v>
      </c>
      <c r="M98" s="41">
        <v>95</v>
      </c>
    </row>
    <row r="99" spans="1:13" x14ac:dyDescent="0.2">
      <c r="A99" s="75" t="s">
        <v>514</v>
      </c>
      <c r="B99" s="75" t="s">
        <v>515</v>
      </c>
      <c r="C99" s="110" t="s">
        <v>25</v>
      </c>
      <c r="D99" s="74" t="s">
        <v>516</v>
      </c>
      <c r="E99" s="56"/>
      <c r="F99" s="56">
        <v>1</v>
      </c>
      <c r="G99" s="87"/>
      <c r="H99" s="87"/>
      <c r="I99" s="87">
        <v>1</v>
      </c>
      <c r="J99" s="50"/>
      <c r="K99" s="50"/>
      <c r="L99" s="33">
        <f>SUM(E99:K99)</f>
        <v>2</v>
      </c>
      <c r="M99" s="41">
        <v>96</v>
      </c>
    </row>
    <row r="100" spans="1:13" x14ac:dyDescent="0.2">
      <c r="A100" s="75" t="s">
        <v>517</v>
      </c>
      <c r="B100" s="75" t="s">
        <v>518</v>
      </c>
      <c r="C100" s="110" t="s">
        <v>25</v>
      </c>
      <c r="D100" s="74" t="s">
        <v>519</v>
      </c>
      <c r="E100" s="56">
        <v>1</v>
      </c>
      <c r="F100" s="56"/>
      <c r="G100" s="88"/>
      <c r="H100" s="87"/>
      <c r="I100" s="87"/>
      <c r="J100" s="50"/>
      <c r="K100" s="50"/>
      <c r="L100" s="33">
        <f>SUM(E100:K100)</f>
        <v>1</v>
      </c>
      <c r="M100" s="41">
        <v>97</v>
      </c>
    </row>
    <row r="101" spans="1:13" x14ac:dyDescent="0.2">
      <c r="A101" s="75" t="s">
        <v>367</v>
      </c>
      <c r="B101" s="75" t="s">
        <v>368</v>
      </c>
      <c r="C101" s="110" t="s">
        <v>9</v>
      </c>
      <c r="D101" s="74" t="s">
        <v>369</v>
      </c>
      <c r="E101" s="56"/>
      <c r="F101" s="56">
        <v>1</v>
      </c>
      <c r="G101" s="87"/>
      <c r="H101" s="87">
        <v>1</v>
      </c>
      <c r="I101" s="87">
        <v>1</v>
      </c>
      <c r="J101" s="50"/>
      <c r="K101" s="50"/>
      <c r="L101" s="33">
        <f>SUM(E101:K101)</f>
        <v>3</v>
      </c>
      <c r="M101" s="41">
        <v>98</v>
      </c>
    </row>
    <row r="102" spans="1:13" x14ac:dyDescent="0.2">
      <c r="A102" s="75" t="s">
        <v>372</v>
      </c>
      <c r="B102" s="75" t="s">
        <v>373</v>
      </c>
      <c r="C102" s="110" t="s">
        <v>9</v>
      </c>
      <c r="D102" s="74" t="s">
        <v>374</v>
      </c>
      <c r="E102" s="56"/>
      <c r="F102" s="56">
        <v>1</v>
      </c>
      <c r="G102" s="87"/>
      <c r="H102" s="87">
        <v>1</v>
      </c>
      <c r="I102" s="87">
        <v>1</v>
      </c>
      <c r="J102" s="50"/>
      <c r="K102" s="50"/>
      <c r="L102" s="33">
        <f>SUM(E102:K102)</f>
        <v>3</v>
      </c>
      <c r="M102" s="41">
        <v>99</v>
      </c>
    </row>
    <row r="103" spans="1:13" x14ac:dyDescent="0.2">
      <c r="A103" s="75" t="s">
        <v>520</v>
      </c>
      <c r="B103" s="75" t="s">
        <v>521</v>
      </c>
      <c r="C103" s="110" t="s">
        <v>312</v>
      </c>
      <c r="D103" s="74" t="s">
        <v>522</v>
      </c>
      <c r="E103" s="56">
        <v>1</v>
      </c>
      <c r="F103" s="56"/>
      <c r="G103" s="88"/>
      <c r="H103" s="87"/>
      <c r="I103" s="87"/>
      <c r="J103" s="50"/>
      <c r="K103" s="50"/>
      <c r="L103" s="33">
        <f>SUM(E103:K103)</f>
        <v>1</v>
      </c>
      <c r="M103" s="41">
        <v>100</v>
      </c>
    </row>
    <row r="104" spans="1:13" x14ac:dyDescent="0.2">
      <c r="A104" s="75" t="s">
        <v>377</v>
      </c>
      <c r="B104" s="75" t="s">
        <v>378</v>
      </c>
      <c r="C104" s="110" t="s">
        <v>21</v>
      </c>
      <c r="D104" s="74" t="s">
        <v>379</v>
      </c>
      <c r="E104" s="56">
        <v>1</v>
      </c>
      <c r="F104" s="56">
        <v>1</v>
      </c>
      <c r="G104" s="88"/>
      <c r="H104" s="87"/>
      <c r="I104" s="87"/>
      <c r="J104" s="50"/>
      <c r="K104" s="50"/>
      <c r="L104" s="33">
        <f>SUM(E104:K104)</f>
        <v>2</v>
      </c>
      <c r="M104" s="41">
        <v>101</v>
      </c>
    </row>
    <row r="105" spans="1:13" x14ac:dyDescent="0.2">
      <c r="A105" s="75" t="s">
        <v>382</v>
      </c>
      <c r="B105" s="75" t="s">
        <v>383</v>
      </c>
      <c r="C105" s="110" t="s">
        <v>9</v>
      </c>
      <c r="D105" s="74" t="s">
        <v>384</v>
      </c>
      <c r="E105" s="56"/>
      <c r="F105" s="56">
        <v>1</v>
      </c>
      <c r="G105" s="87"/>
      <c r="H105" s="87">
        <v>1</v>
      </c>
      <c r="I105" s="87">
        <v>1</v>
      </c>
      <c r="J105" s="50"/>
      <c r="K105" s="50"/>
      <c r="L105" s="33">
        <f>SUM(E105:K105)</f>
        <v>3</v>
      </c>
      <c r="M105" s="41">
        <v>102</v>
      </c>
    </row>
    <row r="106" spans="1:13" x14ac:dyDescent="0.2">
      <c r="A106" s="75" t="s">
        <v>137</v>
      </c>
      <c r="B106" s="75" t="s">
        <v>138</v>
      </c>
      <c r="C106" s="110" t="s">
        <v>17</v>
      </c>
      <c r="D106" s="74" t="s">
        <v>139</v>
      </c>
      <c r="E106" s="56">
        <v>1</v>
      </c>
      <c r="F106" s="56">
        <v>1</v>
      </c>
      <c r="G106" s="56"/>
      <c r="H106" s="55">
        <v>1</v>
      </c>
      <c r="I106" s="55">
        <v>1</v>
      </c>
      <c r="J106" s="50"/>
      <c r="K106" s="50"/>
      <c r="L106" s="33">
        <f>SUM(E106:K106)</f>
        <v>4</v>
      </c>
      <c r="M106" s="41">
        <v>103</v>
      </c>
    </row>
    <row r="107" spans="1:13" x14ac:dyDescent="0.2">
      <c r="A107" s="75" t="s">
        <v>523</v>
      </c>
      <c r="B107" s="75" t="s">
        <v>168</v>
      </c>
      <c r="C107" s="110" t="s">
        <v>312</v>
      </c>
      <c r="D107" s="74" t="s">
        <v>524</v>
      </c>
      <c r="E107" s="56">
        <v>1</v>
      </c>
      <c r="F107" s="56"/>
      <c r="G107" s="88"/>
      <c r="H107" s="87"/>
      <c r="I107" s="87"/>
      <c r="J107" s="50"/>
      <c r="K107" s="50"/>
      <c r="L107" s="33">
        <f>SUM(E107:K107)</f>
        <v>1</v>
      </c>
      <c r="M107" s="41">
        <v>104</v>
      </c>
    </row>
    <row r="108" spans="1:13" x14ac:dyDescent="0.2">
      <c r="A108" s="75" t="s">
        <v>387</v>
      </c>
      <c r="B108" s="75" t="s">
        <v>115</v>
      </c>
      <c r="C108" s="110" t="s">
        <v>17</v>
      </c>
      <c r="D108" s="74" t="s">
        <v>388</v>
      </c>
      <c r="E108" s="56">
        <v>1</v>
      </c>
      <c r="F108" s="56"/>
      <c r="G108" s="87">
        <v>1</v>
      </c>
      <c r="H108" s="87"/>
      <c r="I108" s="87"/>
      <c r="J108" s="50"/>
      <c r="K108" s="50"/>
      <c r="L108" s="33">
        <f>SUM(E108:K108)</f>
        <v>2</v>
      </c>
      <c r="M108" s="41">
        <v>105</v>
      </c>
    </row>
    <row r="109" spans="1:13" x14ac:dyDescent="0.2">
      <c r="A109" s="75" t="s">
        <v>391</v>
      </c>
      <c r="B109" s="75" t="s">
        <v>392</v>
      </c>
      <c r="C109" s="110" t="s">
        <v>17</v>
      </c>
      <c r="D109" s="74" t="s">
        <v>393</v>
      </c>
      <c r="E109" s="56">
        <v>1</v>
      </c>
      <c r="F109" s="56"/>
      <c r="G109" s="87">
        <v>1</v>
      </c>
      <c r="H109" s="87"/>
      <c r="I109" s="89"/>
      <c r="J109" s="50"/>
      <c r="K109" s="50"/>
      <c r="L109" s="33">
        <f>SUM(E109:K109)</f>
        <v>2</v>
      </c>
      <c r="M109" s="41">
        <v>106</v>
      </c>
    </row>
    <row r="110" spans="1:13" x14ac:dyDescent="0.2">
      <c r="A110" s="75" t="s">
        <v>143</v>
      </c>
      <c r="B110" s="75" t="s">
        <v>144</v>
      </c>
      <c r="C110" s="110" t="s">
        <v>25</v>
      </c>
      <c r="D110" s="74" t="s">
        <v>145</v>
      </c>
      <c r="E110" s="56">
        <v>1</v>
      </c>
      <c r="F110" s="56">
        <v>1</v>
      </c>
      <c r="G110" s="88"/>
      <c r="H110" s="87">
        <v>1</v>
      </c>
      <c r="I110" s="87"/>
      <c r="J110" s="50"/>
      <c r="K110" s="50"/>
      <c r="L110" s="33">
        <f>SUM(E110:K110)</f>
        <v>3</v>
      </c>
      <c r="M110" s="41">
        <v>107</v>
      </c>
    </row>
    <row r="111" spans="1:13" x14ac:dyDescent="0.2">
      <c r="A111" s="75" t="s">
        <v>397</v>
      </c>
      <c r="B111" s="75" t="s">
        <v>398</v>
      </c>
      <c r="C111" s="110" t="s">
        <v>54</v>
      </c>
      <c r="D111" s="74" t="s">
        <v>399</v>
      </c>
      <c r="E111" s="56">
        <v>1</v>
      </c>
      <c r="F111" s="56">
        <v>1</v>
      </c>
      <c r="G111" s="88"/>
      <c r="H111" s="87"/>
      <c r="I111" s="87"/>
      <c r="J111" s="50"/>
      <c r="K111" s="50"/>
      <c r="L111" s="33">
        <f>SUM(E111:K111)</f>
        <v>2</v>
      </c>
      <c r="M111" s="41">
        <v>108</v>
      </c>
    </row>
    <row r="112" spans="1:13" x14ac:dyDescent="0.2">
      <c r="A112" s="75" t="s">
        <v>403</v>
      </c>
      <c r="B112" s="75" t="s">
        <v>404</v>
      </c>
      <c r="C112" s="110" t="s">
        <v>9</v>
      </c>
      <c r="D112" s="74" t="s">
        <v>405</v>
      </c>
      <c r="E112" s="56">
        <v>1</v>
      </c>
      <c r="F112" s="56">
        <v>1</v>
      </c>
      <c r="G112" s="88"/>
      <c r="H112" s="87"/>
      <c r="I112" s="87"/>
      <c r="J112" s="50"/>
      <c r="K112" s="50"/>
      <c r="L112" s="33">
        <f>SUM(E112:K112)</f>
        <v>2</v>
      </c>
      <c r="M112" s="41">
        <v>109</v>
      </c>
    </row>
    <row r="113" spans="1:13" x14ac:dyDescent="0.2">
      <c r="A113" s="75" t="s">
        <v>149</v>
      </c>
      <c r="B113" s="75" t="s">
        <v>150</v>
      </c>
      <c r="C113" s="110" t="s">
        <v>25</v>
      </c>
      <c r="D113" s="74" t="s">
        <v>151</v>
      </c>
      <c r="E113" s="56">
        <v>1</v>
      </c>
      <c r="F113" s="56">
        <v>1</v>
      </c>
      <c r="G113" s="87">
        <v>1</v>
      </c>
      <c r="H113" s="87"/>
      <c r="I113" s="87"/>
      <c r="J113" s="50"/>
      <c r="K113" s="50"/>
      <c r="L113" s="33">
        <f>SUM(E113:K113)</f>
        <v>3</v>
      </c>
      <c r="M113" s="41">
        <v>110</v>
      </c>
    </row>
    <row r="114" spans="1:13" x14ac:dyDescent="0.2">
      <c r="A114" s="75" t="s">
        <v>525</v>
      </c>
      <c r="B114" s="75" t="s">
        <v>270</v>
      </c>
      <c r="C114" s="110" t="s">
        <v>25</v>
      </c>
      <c r="D114" s="74" t="s">
        <v>526</v>
      </c>
      <c r="E114" s="56">
        <v>1</v>
      </c>
      <c r="F114" s="56"/>
      <c r="G114" s="88"/>
      <c r="H114" s="87"/>
      <c r="I114" s="87"/>
      <c r="J114" s="50"/>
      <c r="K114" s="50"/>
      <c r="L114" s="33">
        <f>SUM(E114:K114)</f>
        <v>1</v>
      </c>
      <c r="M114" s="41">
        <v>111</v>
      </c>
    </row>
    <row r="115" spans="1:13" x14ac:dyDescent="0.2">
      <c r="A115" s="75" t="s">
        <v>80</v>
      </c>
      <c r="B115" s="75" t="s">
        <v>81</v>
      </c>
      <c r="C115" s="110" t="s">
        <v>25</v>
      </c>
      <c r="D115" s="74" t="s">
        <v>82</v>
      </c>
      <c r="E115" s="56">
        <v>1</v>
      </c>
      <c r="F115" s="56">
        <v>1</v>
      </c>
      <c r="G115" s="87">
        <v>1</v>
      </c>
      <c r="H115" s="87">
        <v>1</v>
      </c>
      <c r="I115" s="87"/>
      <c r="J115" s="50"/>
      <c r="K115" s="50"/>
      <c r="L115" s="33">
        <f>SUM(E115:K115)</f>
        <v>4</v>
      </c>
      <c r="M115" s="41">
        <v>112</v>
      </c>
    </row>
    <row r="116" spans="1:13" x14ac:dyDescent="0.2">
      <c r="A116" s="75" t="s">
        <v>409</v>
      </c>
      <c r="B116" s="75" t="s">
        <v>410</v>
      </c>
      <c r="C116" s="110" t="s">
        <v>54</v>
      </c>
      <c r="D116" s="74" t="s">
        <v>82</v>
      </c>
      <c r="E116" s="56">
        <v>1</v>
      </c>
      <c r="F116" s="56">
        <v>1</v>
      </c>
      <c r="G116" s="88"/>
      <c r="H116" s="87"/>
      <c r="I116" s="87"/>
      <c r="J116" s="50"/>
      <c r="K116" s="50"/>
      <c r="L116" s="33">
        <f>SUM(E116:K116)</f>
        <v>2</v>
      </c>
      <c r="M116" s="41">
        <v>113</v>
      </c>
    </row>
    <row r="117" spans="1:13" x14ac:dyDescent="0.2">
      <c r="A117" s="75" t="s">
        <v>527</v>
      </c>
      <c r="B117" s="75" t="s">
        <v>528</v>
      </c>
      <c r="C117" s="110" t="s">
        <v>21</v>
      </c>
      <c r="D117" s="74" t="s">
        <v>529</v>
      </c>
      <c r="E117" s="56"/>
      <c r="F117" s="56"/>
      <c r="G117" s="87">
        <v>1</v>
      </c>
      <c r="H117" s="87"/>
      <c r="I117" s="87"/>
      <c r="J117" s="50"/>
      <c r="K117" s="50"/>
      <c r="L117" s="33">
        <f>SUM(E117:K117)</f>
        <v>1</v>
      </c>
      <c r="M117" s="41">
        <v>114</v>
      </c>
    </row>
    <row r="118" spans="1:13" x14ac:dyDescent="0.2">
      <c r="A118" s="75" t="s">
        <v>411</v>
      </c>
      <c r="B118" s="75" t="s">
        <v>412</v>
      </c>
      <c r="C118" s="110" t="s">
        <v>54</v>
      </c>
      <c r="D118" s="74" t="s">
        <v>413</v>
      </c>
      <c r="E118" s="56"/>
      <c r="F118" s="56">
        <v>1</v>
      </c>
      <c r="G118" s="87"/>
      <c r="H118" s="87">
        <v>1</v>
      </c>
      <c r="I118" s="87"/>
      <c r="J118" s="50"/>
      <c r="K118" s="50"/>
      <c r="L118" s="33">
        <f>SUM(E118:K118)</f>
        <v>2</v>
      </c>
      <c r="M118" s="41">
        <v>115</v>
      </c>
    </row>
  </sheetData>
  <sortState xmlns:xlrd2="http://schemas.microsoft.com/office/spreadsheetml/2017/richdata2" ref="N4:Y76">
    <sortCondition ref="N4:N76"/>
  </sortState>
  <mergeCells count="2">
    <mergeCell ref="L2:L3"/>
    <mergeCell ref="Y2:Y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AW17"/>
  <sheetViews>
    <sheetView zoomScaleNormal="100" workbookViewId="0">
      <selection activeCell="G17" sqref="G17:H17"/>
    </sheetView>
  </sheetViews>
  <sheetFormatPr baseColWidth="10" defaultColWidth="10.140625" defaultRowHeight="12.75" x14ac:dyDescent="0.2"/>
  <cols>
    <col min="1" max="1" width="11.42578125" style="1" bestFit="1" customWidth="1"/>
    <col min="2" max="2" width="21.7109375" style="1" bestFit="1" customWidth="1"/>
    <col min="3" max="3" width="11.28515625" style="1" bestFit="1" customWidth="1"/>
    <col min="4" max="4" width="1.28515625" style="1" customWidth="1"/>
    <col min="5" max="5" width="10.42578125" style="1" bestFit="1" customWidth="1"/>
    <col min="6" max="6" width="1.28515625" style="1" customWidth="1"/>
    <col min="7" max="8" width="6" style="1" customWidth="1"/>
    <col min="9" max="9" width="1.85546875" style="1" bestFit="1" customWidth="1"/>
    <col min="10" max="10" width="2.140625" style="1" bestFit="1" customWidth="1"/>
    <col min="11" max="11" width="2.5703125" style="1" bestFit="1" customWidth="1"/>
    <col min="12" max="12" width="1.85546875" style="1" bestFit="1" customWidth="1"/>
    <col min="13" max="13" width="2.140625" style="1" bestFit="1" customWidth="1"/>
    <col min="14" max="14" width="2.5703125" style="1" bestFit="1" customWidth="1"/>
    <col min="15" max="16" width="7" style="1" customWidth="1"/>
    <col min="17" max="17" width="1.28515625" style="1" customWidth="1"/>
    <col min="18" max="19" width="6" style="1" customWidth="1"/>
    <col min="20" max="20" width="1.85546875" style="1" bestFit="1" customWidth="1"/>
    <col min="21" max="21" width="2.140625" style="1" bestFit="1" customWidth="1"/>
    <col min="22" max="22" width="2.5703125" style="1" bestFit="1" customWidth="1"/>
    <col min="23" max="23" width="1.85546875" style="1" bestFit="1" customWidth="1"/>
    <col min="24" max="24" width="2.140625" style="1" bestFit="1" customWidth="1"/>
    <col min="25" max="25" width="2.5703125" style="1" bestFit="1" customWidth="1"/>
    <col min="26" max="27" width="7" style="1" customWidth="1"/>
    <col min="28" max="28" width="1.28515625" style="1" customWidth="1"/>
    <col min="29" max="30" width="6" style="1" customWidth="1"/>
    <col min="31" max="31" width="1.85546875" style="1" bestFit="1" customWidth="1"/>
    <col min="32" max="32" width="2.140625" style="1" bestFit="1" customWidth="1"/>
    <col min="33" max="33" width="2.5703125" style="1" bestFit="1" customWidth="1"/>
    <col min="34" max="34" width="1.85546875" style="1" bestFit="1" customWidth="1"/>
    <col min="35" max="35" width="2.140625" style="1" bestFit="1" customWidth="1"/>
    <col min="36" max="36" width="2.5703125" style="1" bestFit="1" customWidth="1"/>
    <col min="37" max="38" width="7" style="1" customWidth="1"/>
    <col min="39" max="39" width="1.28515625" style="1" customWidth="1"/>
    <col min="40" max="41" width="6" style="1" customWidth="1"/>
    <col min="42" max="42" width="1.85546875" style="1" bestFit="1" customWidth="1"/>
    <col min="43" max="43" width="2.140625" style="1" bestFit="1" customWidth="1"/>
    <col min="44" max="44" width="2.5703125" style="1" bestFit="1" customWidth="1"/>
    <col min="45" max="45" width="1.85546875" style="1" bestFit="1" customWidth="1"/>
    <col min="46" max="46" width="2.140625" style="1" bestFit="1" customWidth="1"/>
    <col min="47" max="47" width="2.5703125" style="1" bestFit="1" customWidth="1"/>
    <col min="48" max="49" width="7" style="1" customWidth="1"/>
    <col min="50" max="219" width="11.42578125" style="1" customWidth="1"/>
    <col min="220" max="220" width="13.42578125" style="1" bestFit="1" customWidth="1"/>
    <col min="221" max="221" width="11" style="1" bestFit="1" customWidth="1"/>
    <col min="222" max="222" width="12.140625" style="1" bestFit="1" customWidth="1"/>
    <col min="223" max="223" width="2.7109375" style="1" customWidth="1"/>
    <col min="224" max="224" width="10.140625" style="1" bestFit="1"/>
    <col min="225" max="16384" width="10.140625" style="1"/>
  </cols>
  <sheetData>
    <row r="1" spans="1:49" x14ac:dyDescent="0.2">
      <c r="G1" s="132" t="s">
        <v>530</v>
      </c>
      <c r="H1" s="132"/>
      <c r="I1" s="132"/>
      <c r="J1" s="132"/>
      <c r="K1" s="132"/>
      <c r="L1" s="132"/>
      <c r="M1" s="132"/>
      <c r="N1" s="132"/>
      <c r="O1" s="132"/>
      <c r="P1" s="132"/>
      <c r="R1" s="129" t="s">
        <v>531</v>
      </c>
      <c r="S1" s="129"/>
      <c r="T1" s="129"/>
      <c r="U1" s="129"/>
      <c r="V1" s="129"/>
      <c r="W1" s="129"/>
      <c r="X1" s="129"/>
      <c r="Y1" s="129"/>
      <c r="Z1" s="129"/>
      <c r="AA1" s="129"/>
      <c r="AC1" s="129" t="s">
        <v>532</v>
      </c>
      <c r="AD1" s="129"/>
      <c r="AE1" s="129"/>
      <c r="AF1" s="129"/>
      <c r="AG1" s="129"/>
      <c r="AH1" s="129"/>
      <c r="AI1" s="129"/>
      <c r="AJ1" s="129"/>
      <c r="AK1" s="129"/>
      <c r="AL1" s="129"/>
      <c r="AN1" s="129" t="s">
        <v>533</v>
      </c>
      <c r="AO1" s="129"/>
      <c r="AP1" s="129"/>
      <c r="AQ1" s="129"/>
      <c r="AR1" s="129"/>
      <c r="AS1" s="129"/>
      <c r="AT1" s="129"/>
      <c r="AU1" s="129"/>
      <c r="AV1" s="129"/>
      <c r="AW1" s="129"/>
    </row>
    <row r="2" spans="1:49" x14ac:dyDescent="0.2">
      <c r="C2" s="19"/>
      <c r="D2" s="19"/>
      <c r="E2" s="131" t="s">
        <v>534</v>
      </c>
      <c r="F2" s="19"/>
      <c r="G2" s="130" t="s">
        <v>535</v>
      </c>
      <c r="H2" s="130"/>
      <c r="I2" s="130" t="s">
        <v>536</v>
      </c>
      <c r="J2" s="130"/>
      <c r="K2" s="130"/>
      <c r="L2" s="130"/>
      <c r="M2" s="130"/>
      <c r="N2" s="130"/>
      <c r="O2" s="130" t="s">
        <v>537</v>
      </c>
      <c r="P2" s="130"/>
      <c r="Q2" s="19"/>
      <c r="R2" s="130" t="s">
        <v>535</v>
      </c>
      <c r="S2" s="130"/>
      <c r="T2" s="130" t="s">
        <v>536</v>
      </c>
      <c r="U2" s="130"/>
      <c r="V2" s="130"/>
      <c r="W2" s="130"/>
      <c r="X2" s="130"/>
      <c r="Y2" s="130"/>
      <c r="Z2" s="130" t="s">
        <v>537</v>
      </c>
      <c r="AA2" s="130"/>
      <c r="AB2" s="19"/>
      <c r="AC2" s="130" t="s">
        <v>535</v>
      </c>
      <c r="AD2" s="130"/>
      <c r="AE2" s="130" t="s">
        <v>536</v>
      </c>
      <c r="AF2" s="130"/>
      <c r="AG2" s="130"/>
      <c r="AH2" s="130"/>
      <c r="AI2" s="130"/>
      <c r="AJ2" s="130"/>
      <c r="AK2" s="130" t="s">
        <v>537</v>
      </c>
      <c r="AL2" s="130"/>
      <c r="AM2" s="19"/>
      <c r="AN2" s="130" t="s">
        <v>535</v>
      </c>
      <c r="AO2" s="130"/>
      <c r="AP2" s="130" t="s">
        <v>536</v>
      </c>
      <c r="AQ2" s="130"/>
      <c r="AR2" s="130"/>
      <c r="AS2" s="130"/>
      <c r="AT2" s="130"/>
      <c r="AU2" s="130"/>
      <c r="AV2" s="130" t="s">
        <v>537</v>
      </c>
      <c r="AW2" s="130"/>
    </row>
    <row r="3" spans="1:49" x14ac:dyDescent="0.2">
      <c r="C3" s="20"/>
      <c r="D3" s="20"/>
      <c r="E3" s="131"/>
      <c r="F3" s="20"/>
      <c r="G3" s="42" t="s">
        <v>538</v>
      </c>
      <c r="H3" s="42" t="s">
        <v>539</v>
      </c>
      <c r="I3" s="42" t="s">
        <v>538</v>
      </c>
      <c r="J3" s="42" t="s">
        <v>539</v>
      </c>
      <c r="K3" s="42" t="s">
        <v>540</v>
      </c>
      <c r="L3" s="42" t="s">
        <v>538</v>
      </c>
      <c r="M3" s="42" t="s">
        <v>539</v>
      </c>
      <c r="N3" s="42" t="s">
        <v>540</v>
      </c>
      <c r="O3" s="42" t="s">
        <v>538</v>
      </c>
      <c r="P3" s="42" t="s">
        <v>539</v>
      </c>
      <c r="Q3" s="20"/>
      <c r="R3" s="42" t="s">
        <v>538</v>
      </c>
      <c r="S3" s="42" t="s">
        <v>539</v>
      </c>
      <c r="T3" s="42" t="s">
        <v>538</v>
      </c>
      <c r="U3" s="42" t="s">
        <v>539</v>
      </c>
      <c r="V3" s="42" t="s">
        <v>540</v>
      </c>
      <c r="W3" s="42" t="s">
        <v>538</v>
      </c>
      <c r="X3" s="42" t="s">
        <v>539</v>
      </c>
      <c r="Y3" s="42" t="s">
        <v>540</v>
      </c>
      <c r="Z3" s="42" t="s">
        <v>538</v>
      </c>
      <c r="AA3" s="42" t="s">
        <v>539</v>
      </c>
      <c r="AB3" s="20"/>
      <c r="AC3" s="42" t="s">
        <v>538</v>
      </c>
      <c r="AD3" s="42" t="s">
        <v>539</v>
      </c>
      <c r="AE3" s="42" t="s">
        <v>538</v>
      </c>
      <c r="AF3" s="42" t="s">
        <v>539</v>
      </c>
      <c r="AG3" s="42" t="s">
        <v>540</v>
      </c>
      <c r="AH3" s="42" t="s">
        <v>538</v>
      </c>
      <c r="AI3" s="42" t="s">
        <v>539</v>
      </c>
      <c r="AJ3" s="42" t="s">
        <v>540</v>
      </c>
      <c r="AK3" s="42" t="s">
        <v>538</v>
      </c>
      <c r="AL3" s="42" t="s">
        <v>539</v>
      </c>
      <c r="AM3" s="20"/>
      <c r="AN3" s="42" t="s">
        <v>538</v>
      </c>
      <c r="AO3" s="42" t="s">
        <v>539</v>
      </c>
      <c r="AP3" s="42" t="s">
        <v>538</v>
      </c>
      <c r="AQ3" s="42" t="s">
        <v>539</v>
      </c>
      <c r="AR3" s="42" t="s">
        <v>540</v>
      </c>
      <c r="AS3" s="42" t="s">
        <v>538</v>
      </c>
      <c r="AT3" s="42" t="s">
        <v>539</v>
      </c>
      <c r="AU3" s="42" t="s">
        <v>540</v>
      </c>
      <c r="AV3" s="42" t="s">
        <v>538</v>
      </c>
      <c r="AW3" s="42" t="s">
        <v>539</v>
      </c>
    </row>
    <row r="4" spans="1:49" x14ac:dyDescent="0.2">
      <c r="C4" s="20"/>
      <c r="D4" s="20"/>
      <c r="E4" s="39"/>
      <c r="F4" s="20"/>
      <c r="G4" s="42"/>
      <c r="H4" s="42"/>
      <c r="I4" s="130" t="s">
        <v>541</v>
      </c>
      <c r="J4" s="130"/>
      <c r="K4" s="130"/>
      <c r="L4" s="130" t="s">
        <v>542</v>
      </c>
      <c r="M4" s="130"/>
      <c r="N4" s="130"/>
      <c r="O4" s="42"/>
      <c r="P4" s="42"/>
      <c r="Q4" s="20"/>
      <c r="R4" s="42"/>
      <c r="S4" s="42"/>
      <c r="T4" s="130" t="s">
        <v>541</v>
      </c>
      <c r="U4" s="130"/>
      <c r="V4" s="130"/>
      <c r="W4" s="130" t="s">
        <v>542</v>
      </c>
      <c r="X4" s="130"/>
      <c r="Y4" s="130"/>
      <c r="Z4" s="42"/>
      <c r="AA4" s="42"/>
      <c r="AB4" s="20"/>
      <c r="AC4" s="42"/>
      <c r="AD4" s="42"/>
      <c r="AE4" s="130" t="s">
        <v>541</v>
      </c>
      <c r="AF4" s="130"/>
      <c r="AG4" s="130"/>
      <c r="AH4" s="130" t="s">
        <v>542</v>
      </c>
      <c r="AI4" s="130"/>
      <c r="AJ4" s="130"/>
      <c r="AK4" s="42"/>
      <c r="AL4" s="42"/>
      <c r="AM4" s="20"/>
      <c r="AN4" s="42"/>
      <c r="AO4" s="42"/>
      <c r="AP4" s="130" t="s">
        <v>541</v>
      </c>
      <c r="AQ4" s="130"/>
      <c r="AR4" s="130"/>
      <c r="AS4" s="130" t="s">
        <v>542</v>
      </c>
      <c r="AT4" s="130"/>
      <c r="AU4" s="130"/>
      <c r="AV4" s="42"/>
      <c r="AW4" s="42"/>
    </row>
    <row r="5" spans="1:49" x14ac:dyDescent="0.2">
      <c r="D5" s="20"/>
    </row>
    <row r="6" spans="1:49" x14ac:dyDescent="0.2">
      <c r="A6" s="21" t="s">
        <v>543</v>
      </c>
      <c r="B6" s="21" t="s">
        <v>544</v>
      </c>
      <c r="C6" s="21" t="s">
        <v>530</v>
      </c>
      <c r="D6" s="20"/>
      <c r="E6" s="43">
        <v>45610</v>
      </c>
      <c r="G6" s="21">
        <v>24</v>
      </c>
      <c r="H6" s="21">
        <v>32</v>
      </c>
      <c r="I6" s="21"/>
      <c r="J6" s="21"/>
      <c r="K6" s="21"/>
      <c r="L6" s="21"/>
      <c r="M6" s="21"/>
      <c r="N6" s="21"/>
      <c r="O6" s="21"/>
      <c r="P6" s="21"/>
      <c r="R6" s="21"/>
      <c r="S6" s="21"/>
      <c r="T6" s="21"/>
      <c r="U6" s="21"/>
      <c r="V6" s="21"/>
      <c r="W6" s="21"/>
      <c r="X6" s="21"/>
      <c r="Y6" s="21"/>
      <c r="Z6" s="21"/>
      <c r="AA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x14ac:dyDescent="0.2">
      <c r="A7" s="21" t="s">
        <v>543</v>
      </c>
      <c r="B7" s="21" t="s">
        <v>545</v>
      </c>
      <c r="C7" s="21" t="s">
        <v>530</v>
      </c>
      <c r="D7" s="20"/>
      <c r="E7" s="43">
        <v>45335</v>
      </c>
      <c r="G7" s="21">
        <v>20</v>
      </c>
      <c r="H7" s="21">
        <v>41</v>
      </c>
      <c r="I7" s="21"/>
      <c r="J7" s="21"/>
      <c r="K7" s="21"/>
      <c r="L7" s="21"/>
      <c r="M7" s="21"/>
      <c r="N7" s="21"/>
      <c r="O7" s="21"/>
      <c r="P7" s="21"/>
      <c r="R7" s="21"/>
      <c r="S7" s="21"/>
      <c r="T7" s="21"/>
      <c r="U7" s="21"/>
      <c r="V7" s="21"/>
      <c r="W7" s="21"/>
      <c r="X7" s="21"/>
      <c r="Y7" s="21"/>
      <c r="Z7" s="21"/>
      <c r="AA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N7" s="21"/>
      <c r="AO7" s="21"/>
      <c r="AP7" s="21"/>
      <c r="AQ7" s="21"/>
      <c r="AR7" s="21"/>
      <c r="AS7" s="21"/>
      <c r="AT7" s="21"/>
      <c r="AU7" s="21"/>
      <c r="AV7" s="21"/>
      <c r="AW7" s="21"/>
    </row>
    <row r="8" spans="1:49" x14ac:dyDescent="0.2">
      <c r="A8" s="21" t="s">
        <v>543</v>
      </c>
      <c r="B8" s="21" t="s">
        <v>546</v>
      </c>
      <c r="C8" s="21" t="s">
        <v>530</v>
      </c>
      <c r="D8" s="20"/>
      <c r="E8" s="26">
        <v>45392</v>
      </c>
      <c r="G8" s="21">
        <v>19</v>
      </c>
      <c r="H8" s="21">
        <v>28</v>
      </c>
      <c r="I8" s="21"/>
      <c r="J8" s="21"/>
      <c r="K8" s="21"/>
      <c r="L8" s="21"/>
      <c r="M8" s="21"/>
      <c r="N8" s="21"/>
      <c r="O8" s="21"/>
      <c r="P8" s="21"/>
      <c r="R8" s="21"/>
      <c r="S8" s="21"/>
      <c r="T8" s="21"/>
      <c r="U8" s="21"/>
      <c r="V8" s="21"/>
      <c r="W8" s="21"/>
      <c r="X8" s="21"/>
      <c r="Y8" s="21"/>
      <c r="Z8" s="21"/>
      <c r="AA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N8" s="21"/>
      <c r="AO8" s="21"/>
      <c r="AP8" s="21"/>
      <c r="AQ8" s="21"/>
      <c r="AR8" s="21"/>
      <c r="AS8" s="21"/>
      <c r="AT8" s="21"/>
      <c r="AU8" s="21"/>
      <c r="AV8" s="21"/>
      <c r="AW8" s="21"/>
    </row>
    <row r="9" spans="1:49" x14ac:dyDescent="0.2">
      <c r="D9" s="20"/>
    </row>
    <row r="10" spans="1:49" x14ac:dyDescent="0.2">
      <c r="A10" s="21" t="s">
        <v>547</v>
      </c>
      <c r="B10" s="21" t="s">
        <v>548</v>
      </c>
      <c r="C10" s="21" t="s">
        <v>530</v>
      </c>
      <c r="D10" s="20"/>
      <c r="E10" s="26">
        <v>45631</v>
      </c>
      <c r="G10" s="21">
        <v>45</v>
      </c>
      <c r="H10" s="21">
        <v>74</v>
      </c>
      <c r="I10" s="21"/>
      <c r="J10" s="21"/>
      <c r="K10" s="21"/>
      <c r="L10" s="21"/>
      <c r="M10" s="21"/>
      <c r="N10" s="21"/>
      <c r="O10" s="21"/>
      <c r="P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</row>
    <row r="11" spans="1:49" x14ac:dyDescent="0.2">
      <c r="A11" s="21" t="s">
        <v>547</v>
      </c>
      <c r="B11" s="21" t="s">
        <v>549</v>
      </c>
      <c r="C11" s="21" t="s">
        <v>530</v>
      </c>
      <c r="D11" s="20"/>
      <c r="E11" s="26">
        <v>45371</v>
      </c>
      <c r="G11" s="21">
        <v>51</v>
      </c>
      <c r="H11" s="21">
        <v>78</v>
      </c>
      <c r="I11" s="21"/>
      <c r="J11" s="21"/>
      <c r="K11" s="21"/>
      <c r="L11" s="21"/>
      <c r="M11" s="21"/>
      <c r="N11" s="21"/>
      <c r="O11" s="21"/>
      <c r="P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</row>
    <row r="12" spans="1:49" x14ac:dyDescent="0.2">
      <c r="D12" s="20"/>
    </row>
    <row r="13" spans="1:49" x14ac:dyDescent="0.2">
      <c r="B13" s="21" t="s">
        <v>550</v>
      </c>
      <c r="C13" s="21"/>
      <c r="D13" s="20"/>
      <c r="E13" s="43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49" x14ac:dyDescent="0.2">
      <c r="D14" s="20"/>
    </row>
    <row r="15" spans="1:49" x14ac:dyDescent="0.2">
      <c r="D15" s="20"/>
      <c r="G15" s="1">
        <f>SUM(G6:G8)</f>
        <v>63</v>
      </c>
      <c r="H15" s="1">
        <f>SUM(H6:H8)</f>
        <v>101</v>
      </c>
    </row>
    <row r="17" spans="7:8" x14ac:dyDescent="0.2">
      <c r="G17" s="1">
        <f>SUM(G10:G11)</f>
        <v>96</v>
      </c>
      <c r="H17" s="1">
        <f>SUM(H10:H11)</f>
        <v>152</v>
      </c>
    </row>
  </sheetData>
  <mergeCells count="25">
    <mergeCell ref="AH4:AJ4"/>
    <mergeCell ref="I4:K4"/>
    <mergeCell ref="L4:N4"/>
    <mergeCell ref="T4:V4"/>
    <mergeCell ref="W4:Y4"/>
    <mergeCell ref="AE4:AG4"/>
    <mergeCell ref="R1:AA1"/>
    <mergeCell ref="AC1:AL1"/>
    <mergeCell ref="E2:E3"/>
    <mergeCell ref="G2:H2"/>
    <mergeCell ref="I2:N2"/>
    <mergeCell ref="O2:P2"/>
    <mergeCell ref="R2:S2"/>
    <mergeCell ref="T2:Y2"/>
    <mergeCell ref="Z2:AA2"/>
    <mergeCell ref="AC2:AD2"/>
    <mergeCell ref="AE2:AJ2"/>
    <mergeCell ref="AK2:AL2"/>
    <mergeCell ref="G1:P1"/>
    <mergeCell ref="AN1:AW1"/>
    <mergeCell ref="AN2:AO2"/>
    <mergeCell ref="AP2:AU2"/>
    <mergeCell ref="AV2:AW2"/>
    <mergeCell ref="AP4:AR4"/>
    <mergeCell ref="AS4:AU4"/>
  </mergeCells>
  <phoneticPr fontId="0" type="noConversion"/>
  <pageMargins left="3.937007874015748E-2" right="3.937007874015748E-2" top="0.98425196850393704" bottom="0.98425196850393704" header="0.51181102362204722" footer="0.51181102362204722"/>
  <pageSetup paperSize="9" scale="90" orientation="landscape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J76"/>
  <sheetViews>
    <sheetView zoomScale="130" zoomScaleNormal="130" workbookViewId="0">
      <pane ySplit="2" topLeftCell="A10" activePane="bottomLeft" state="frozen"/>
      <selection activeCell="D1" sqref="D1"/>
      <selection pane="bottomLeft" activeCell="H32" sqref="H32"/>
    </sheetView>
  </sheetViews>
  <sheetFormatPr baseColWidth="10" defaultColWidth="40.85546875" defaultRowHeight="12.75" x14ac:dyDescent="0.2"/>
  <cols>
    <col min="1" max="1" width="19.7109375" style="1" bestFit="1" customWidth="1"/>
    <col min="2" max="2" width="8" style="1" bestFit="1" customWidth="1"/>
    <col min="3" max="3" width="8.42578125" style="1" bestFit="1" customWidth="1"/>
    <col min="4" max="4" width="13.140625" style="1" bestFit="1" customWidth="1"/>
    <col min="5" max="5" width="3" style="1" bestFit="1" customWidth="1"/>
    <col min="6" max="6" width="17.7109375" style="1" bestFit="1" customWidth="1"/>
    <col min="7" max="7" width="8.5703125" style="1" bestFit="1" customWidth="1"/>
    <col min="8" max="8" width="22.85546875" style="7" bestFit="1" customWidth="1"/>
    <col min="9" max="9" width="12.140625" style="8" bestFit="1" customWidth="1"/>
    <col min="10" max="16384" width="40.85546875" style="1"/>
  </cols>
  <sheetData>
    <row r="1" spans="1:9" ht="26.25" x14ac:dyDescent="0.2">
      <c r="A1" s="138" t="s">
        <v>551</v>
      </c>
      <c r="B1" s="138"/>
      <c r="C1" s="138"/>
      <c r="D1" s="138"/>
      <c r="E1" s="138"/>
      <c r="F1" s="138"/>
      <c r="G1" s="138"/>
      <c r="H1" s="138"/>
      <c r="I1" s="138"/>
    </row>
    <row r="3" spans="1:9" x14ac:dyDescent="0.2">
      <c r="A3" s="27" t="s">
        <v>552</v>
      </c>
      <c r="B3" s="27" t="s">
        <v>553</v>
      </c>
      <c r="C3" s="28" t="s">
        <v>554</v>
      </c>
      <c r="D3" s="22" t="s">
        <v>555</v>
      </c>
      <c r="E3" s="47">
        <v>1</v>
      </c>
      <c r="F3" s="11"/>
      <c r="G3" s="11"/>
      <c r="H3" s="12"/>
      <c r="I3" s="13"/>
    </row>
    <row r="4" spans="1:9" x14ac:dyDescent="0.2">
      <c r="A4" s="27" t="s">
        <v>552</v>
      </c>
      <c r="B4" s="27" t="s">
        <v>553</v>
      </c>
      <c r="C4" s="28" t="s">
        <v>554</v>
      </c>
      <c r="D4" s="22" t="s">
        <v>555</v>
      </c>
      <c r="E4" s="36">
        <v>2</v>
      </c>
      <c r="F4" s="11"/>
      <c r="G4" s="11"/>
      <c r="H4" s="12"/>
      <c r="I4" s="13"/>
    </row>
    <row r="5" spans="1:9" x14ac:dyDescent="0.2">
      <c r="A5" s="27" t="s">
        <v>552</v>
      </c>
      <c r="B5" s="27" t="s">
        <v>553</v>
      </c>
      <c r="C5" s="28" t="s">
        <v>554</v>
      </c>
      <c r="D5" s="22" t="s">
        <v>555</v>
      </c>
      <c r="E5" s="36">
        <v>6</v>
      </c>
      <c r="F5" s="11"/>
      <c r="G5" s="11"/>
      <c r="H5" s="12"/>
      <c r="I5" s="13"/>
    </row>
    <row r="6" spans="1:9" x14ac:dyDescent="0.2">
      <c r="A6" s="27" t="s">
        <v>552</v>
      </c>
      <c r="B6" s="27" t="s">
        <v>553</v>
      </c>
      <c r="C6" s="28" t="s">
        <v>554</v>
      </c>
      <c r="D6" s="22" t="s">
        <v>555</v>
      </c>
      <c r="E6" s="36">
        <v>6</v>
      </c>
      <c r="F6" s="11"/>
      <c r="G6" s="11"/>
      <c r="H6" s="12"/>
      <c r="I6" s="13"/>
    </row>
    <row r="7" spans="1:9" x14ac:dyDescent="0.2">
      <c r="A7" s="27" t="s">
        <v>552</v>
      </c>
      <c r="B7" s="27" t="s">
        <v>553</v>
      </c>
      <c r="C7" s="28" t="s">
        <v>554</v>
      </c>
      <c r="D7" s="22" t="s">
        <v>555</v>
      </c>
      <c r="E7" s="36">
        <v>9</v>
      </c>
      <c r="F7" s="11"/>
      <c r="G7" s="11"/>
      <c r="H7" s="12"/>
      <c r="I7" s="13"/>
    </row>
    <row r="8" spans="1:9" x14ac:dyDescent="0.2">
      <c r="A8" s="27" t="s">
        <v>552</v>
      </c>
      <c r="B8" s="27" t="s">
        <v>553</v>
      </c>
      <c r="C8" s="28" t="s">
        <v>554</v>
      </c>
      <c r="D8" s="22" t="s">
        <v>555</v>
      </c>
      <c r="E8" s="36">
        <v>10</v>
      </c>
      <c r="F8" s="11"/>
      <c r="G8" s="11"/>
      <c r="H8" s="12"/>
      <c r="I8" s="13"/>
    </row>
    <row r="9" spans="1:9" x14ac:dyDescent="0.2">
      <c r="A9" s="27" t="s">
        <v>552</v>
      </c>
      <c r="B9" s="27" t="s">
        <v>553</v>
      </c>
      <c r="C9" s="28" t="s">
        <v>554</v>
      </c>
      <c r="D9" s="22" t="s">
        <v>555</v>
      </c>
      <c r="E9" s="36">
        <v>16</v>
      </c>
      <c r="F9" s="11"/>
      <c r="G9" s="11"/>
      <c r="H9" s="12"/>
      <c r="I9" s="13"/>
    </row>
    <row r="10" spans="1:9" x14ac:dyDescent="0.2">
      <c r="A10" s="27" t="s">
        <v>552</v>
      </c>
      <c r="B10" s="27" t="s">
        <v>553</v>
      </c>
      <c r="C10" s="28" t="s">
        <v>554</v>
      </c>
      <c r="D10" s="22" t="s">
        <v>555</v>
      </c>
      <c r="E10" s="36">
        <v>25</v>
      </c>
      <c r="F10" s="11"/>
      <c r="G10" s="11"/>
      <c r="H10" s="12"/>
      <c r="I10" s="13"/>
    </row>
    <row r="11" spans="1:9" x14ac:dyDescent="0.2">
      <c r="A11" s="27" t="s">
        <v>552</v>
      </c>
      <c r="B11" s="27" t="s">
        <v>553</v>
      </c>
      <c r="C11" s="28" t="s">
        <v>554</v>
      </c>
      <c r="D11" s="22" t="s">
        <v>555</v>
      </c>
      <c r="E11" s="36">
        <v>48</v>
      </c>
      <c r="F11" s="11"/>
      <c r="G11" s="11"/>
      <c r="H11" s="12"/>
      <c r="I11" s="13"/>
    </row>
    <row r="12" spans="1:9" x14ac:dyDescent="0.2">
      <c r="A12" s="27" t="s">
        <v>552</v>
      </c>
      <c r="B12" s="27" t="s">
        <v>553</v>
      </c>
      <c r="C12" s="28" t="s">
        <v>554</v>
      </c>
      <c r="D12" s="22" t="s">
        <v>1</v>
      </c>
      <c r="E12" s="36">
        <v>2</v>
      </c>
      <c r="F12" s="11"/>
      <c r="G12" s="11"/>
      <c r="H12" s="12"/>
      <c r="I12" s="13"/>
    </row>
    <row r="13" spans="1:9" x14ac:dyDescent="0.2">
      <c r="A13" s="27" t="s">
        <v>552</v>
      </c>
      <c r="B13" s="27" t="s">
        <v>553</v>
      </c>
      <c r="C13" s="28" t="s">
        <v>554</v>
      </c>
      <c r="D13" s="22" t="s">
        <v>1</v>
      </c>
      <c r="E13" s="36">
        <v>4</v>
      </c>
      <c r="F13" s="11"/>
      <c r="G13" s="11"/>
      <c r="H13" s="12"/>
      <c r="I13" s="13"/>
    </row>
    <row r="14" spans="1:9" x14ac:dyDescent="0.2">
      <c r="A14" s="27" t="s">
        <v>552</v>
      </c>
      <c r="B14" s="27" t="s">
        <v>553</v>
      </c>
      <c r="C14" s="28" t="s">
        <v>554</v>
      </c>
      <c r="D14" s="22" t="s">
        <v>1</v>
      </c>
      <c r="E14" s="36">
        <v>5</v>
      </c>
      <c r="F14" s="11"/>
      <c r="G14" s="11"/>
      <c r="H14" s="12"/>
      <c r="I14" s="13"/>
    </row>
    <row r="15" spans="1:9" x14ac:dyDescent="0.2">
      <c r="A15" s="27" t="s">
        <v>552</v>
      </c>
      <c r="B15" s="27" t="s">
        <v>553</v>
      </c>
      <c r="C15" s="28" t="s">
        <v>554</v>
      </c>
      <c r="D15" s="22" t="s">
        <v>1</v>
      </c>
      <c r="E15" s="36">
        <v>8</v>
      </c>
      <c r="F15" s="11"/>
      <c r="G15" s="11"/>
      <c r="H15" s="12"/>
      <c r="I15" s="13"/>
    </row>
    <row r="16" spans="1:9" x14ac:dyDescent="0.2">
      <c r="A16" s="27" t="s">
        <v>552</v>
      </c>
      <c r="B16" s="27" t="s">
        <v>553</v>
      </c>
      <c r="C16" s="28" t="s">
        <v>554</v>
      </c>
      <c r="D16" s="22" t="s">
        <v>1</v>
      </c>
      <c r="E16" s="36">
        <v>9</v>
      </c>
      <c r="F16" s="11"/>
      <c r="G16" s="11"/>
      <c r="H16" s="12"/>
      <c r="I16" s="13"/>
    </row>
    <row r="17" spans="1:10" x14ac:dyDescent="0.2">
      <c r="A17" s="27" t="s">
        <v>552</v>
      </c>
      <c r="B17" s="27" t="s">
        <v>553</v>
      </c>
      <c r="C17" s="28" t="s">
        <v>554</v>
      </c>
      <c r="D17" s="22" t="s">
        <v>1</v>
      </c>
      <c r="E17" s="36">
        <v>11</v>
      </c>
      <c r="F17" s="11"/>
      <c r="G17" s="11"/>
      <c r="H17" s="12"/>
      <c r="I17" s="13"/>
    </row>
    <row r="18" spans="1:10" x14ac:dyDescent="0.2">
      <c r="A18" s="27" t="s">
        <v>552</v>
      </c>
      <c r="B18" s="27" t="s">
        <v>553</v>
      </c>
      <c r="C18" s="28" t="s">
        <v>554</v>
      </c>
      <c r="D18" s="22" t="s">
        <v>1</v>
      </c>
      <c r="E18" s="36">
        <v>22</v>
      </c>
      <c r="F18" s="11"/>
      <c r="G18" s="11"/>
      <c r="H18" s="12"/>
      <c r="I18" s="13"/>
    </row>
    <row r="19" spans="1:10" x14ac:dyDescent="0.2">
      <c r="A19" s="27" t="s">
        <v>552</v>
      </c>
      <c r="B19" s="27" t="s">
        <v>553</v>
      </c>
      <c r="C19" s="28" t="s">
        <v>554</v>
      </c>
      <c r="D19" s="22" t="s">
        <v>1</v>
      </c>
      <c r="E19" s="36">
        <v>41</v>
      </c>
      <c r="F19" s="11"/>
      <c r="G19" s="11"/>
      <c r="H19" s="12"/>
      <c r="I19" s="13"/>
    </row>
    <row r="20" spans="1:10" x14ac:dyDescent="0.2">
      <c r="A20" s="27" t="s">
        <v>552</v>
      </c>
      <c r="B20" s="27" t="s">
        <v>553</v>
      </c>
      <c r="C20" s="28" t="s">
        <v>554</v>
      </c>
      <c r="D20" s="22" t="s">
        <v>1</v>
      </c>
      <c r="E20" s="36">
        <v>54</v>
      </c>
      <c r="F20" s="11"/>
      <c r="G20" s="11"/>
      <c r="H20" s="12"/>
      <c r="I20" s="13"/>
    </row>
    <row r="21" spans="1:10" x14ac:dyDescent="0.2">
      <c r="A21" s="27" t="s">
        <v>552</v>
      </c>
      <c r="B21" s="27" t="s">
        <v>553</v>
      </c>
      <c r="C21" s="28" t="s">
        <v>554</v>
      </c>
      <c r="D21" s="22" t="s">
        <v>556</v>
      </c>
      <c r="E21" s="47">
        <v>1</v>
      </c>
      <c r="F21" s="11"/>
      <c r="G21" s="11"/>
      <c r="H21" s="12"/>
      <c r="I21" s="13"/>
    </row>
    <row r="22" spans="1:10" x14ac:dyDescent="0.2">
      <c r="A22" s="27" t="s">
        <v>552</v>
      </c>
      <c r="B22" s="27" t="s">
        <v>553</v>
      </c>
      <c r="C22" s="28" t="s">
        <v>554</v>
      </c>
      <c r="D22" s="22" t="s">
        <v>556</v>
      </c>
      <c r="E22" s="46">
        <v>2</v>
      </c>
      <c r="F22" s="11"/>
      <c r="G22" s="11"/>
      <c r="H22" s="12"/>
      <c r="I22" s="13"/>
    </row>
    <row r="23" spans="1:10" x14ac:dyDescent="0.2">
      <c r="A23" s="27" t="s">
        <v>552</v>
      </c>
      <c r="B23" s="27" t="s">
        <v>553</v>
      </c>
      <c r="C23" s="28" t="s">
        <v>554</v>
      </c>
      <c r="D23" s="22" t="s">
        <v>556</v>
      </c>
      <c r="E23" s="46">
        <v>5</v>
      </c>
      <c r="F23" s="11"/>
      <c r="G23" s="11"/>
      <c r="H23" s="12"/>
      <c r="I23" s="13"/>
    </row>
    <row r="24" spans="1:10" x14ac:dyDescent="0.2">
      <c r="A24" s="27" t="s">
        <v>552</v>
      </c>
      <c r="B24" s="27" t="s">
        <v>553</v>
      </c>
      <c r="C24" s="28" t="s">
        <v>554</v>
      </c>
      <c r="D24" s="22" t="s">
        <v>556</v>
      </c>
      <c r="E24" s="46">
        <v>5</v>
      </c>
      <c r="F24" s="11"/>
      <c r="G24" s="11"/>
      <c r="H24" s="12"/>
      <c r="I24" s="13"/>
    </row>
    <row r="25" spans="1:10" x14ac:dyDescent="0.2">
      <c r="A25" s="27" t="s">
        <v>552</v>
      </c>
      <c r="B25" s="27" t="s">
        <v>553</v>
      </c>
      <c r="C25" s="28" t="s">
        <v>554</v>
      </c>
      <c r="D25" s="22" t="s">
        <v>556</v>
      </c>
      <c r="E25" s="46">
        <v>8</v>
      </c>
      <c r="F25" s="11"/>
      <c r="G25" s="11"/>
      <c r="H25" s="12"/>
      <c r="I25" s="13"/>
      <c r="J25" s="45"/>
    </row>
    <row r="26" spans="1:10" x14ac:dyDescent="0.2">
      <c r="A26" s="27" t="s">
        <v>552</v>
      </c>
      <c r="B26" s="27" t="s">
        <v>553</v>
      </c>
      <c r="C26" s="28" t="s">
        <v>554</v>
      </c>
      <c r="D26" s="22" t="s">
        <v>556</v>
      </c>
      <c r="E26" s="46">
        <v>9</v>
      </c>
      <c r="F26" s="11"/>
      <c r="G26" s="11"/>
      <c r="H26" s="12"/>
      <c r="I26" s="13"/>
    </row>
    <row r="27" spans="1:10" x14ac:dyDescent="0.2">
      <c r="A27" s="27" t="s">
        <v>552</v>
      </c>
      <c r="B27" s="27" t="s">
        <v>553</v>
      </c>
      <c r="C27" s="28" t="s">
        <v>554</v>
      </c>
      <c r="D27" s="22" t="s">
        <v>556</v>
      </c>
      <c r="E27" s="46">
        <v>9</v>
      </c>
      <c r="F27" s="11"/>
      <c r="G27" s="11"/>
      <c r="H27" s="12"/>
      <c r="I27" s="13"/>
    </row>
    <row r="28" spans="1:10" x14ac:dyDescent="0.2">
      <c r="A28" s="27" t="s">
        <v>552</v>
      </c>
      <c r="B28" s="27" t="s">
        <v>553</v>
      </c>
      <c r="C28" s="28" t="s">
        <v>554</v>
      </c>
      <c r="D28" s="22" t="s">
        <v>556</v>
      </c>
      <c r="E28" s="46">
        <v>9</v>
      </c>
      <c r="F28" s="11"/>
      <c r="G28" s="11"/>
      <c r="H28" s="12"/>
      <c r="I28" s="13"/>
    </row>
    <row r="29" spans="1:10" x14ac:dyDescent="0.2">
      <c r="A29" s="27" t="s">
        <v>552</v>
      </c>
      <c r="B29" s="27" t="s">
        <v>553</v>
      </c>
      <c r="C29" s="28" t="s">
        <v>554</v>
      </c>
      <c r="D29" s="22" t="s">
        <v>556</v>
      </c>
      <c r="E29" s="46">
        <v>38</v>
      </c>
      <c r="F29" s="11"/>
      <c r="G29" s="11"/>
      <c r="H29" s="12"/>
      <c r="I29" s="13"/>
    </row>
    <row r="30" spans="1:10" x14ac:dyDescent="0.2">
      <c r="A30" s="27" t="s">
        <v>552</v>
      </c>
      <c r="B30" s="27" t="s">
        <v>553</v>
      </c>
      <c r="C30" s="29" t="s">
        <v>557</v>
      </c>
      <c r="D30" s="22" t="s">
        <v>555</v>
      </c>
      <c r="E30" s="37">
        <v>6</v>
      </c>
      <c r="F30" s="14"/>
      <c r="G30" s="14"/>
      <c r="H30" s="12"/>
      <c r="I30" s="13"/>
    </row>
    <row r="31" spans="1:10" x14ac:dyDescent="0.2">
      <c r="A31" s="27" t="s">
        <v>552</v>
      </c>
      <c r="B31" s="27" t="s">
        <v>553</v>
      </c>
      <c r="C31" s="29" t="s">
        <v>557</v>
      </c>
      <c r="D31" s="22" t="s">
        <v>555</v>
      </c>
      <c r="E31" s="37">
        <v>7</v>
      </c>
      <c r="F31" s="14"/>
      <c r="G31" s="14"/>
      <c r="H31" s="12"/>
      <c r="I31" s="13"/>
    </row>
    <row r="32" spans="1:10" x14ac:dyDescent="0.2">
      <c r="A32" s="27" t="s">
        <v>552</v>
      </c>
      <c r="B32" s="27" t="s">
        <v>553</v>
      </c>
      <c r="C32" s="29" t="s">
        <v>557</v>
      </c>
      <c r="D32" s="22" t="s">
        <v>555</v>
      </c>
      <c r="E32" s="37">
        <v>8</v>
      </c>
      <c r="F32" s="14"/>
      <c r="G32" s="14"/>
      <c r="H32" s="12"/>
      <c r="I32" s="13"/>
    </row>
    <row r="33" spans="1:9" x14ac:dyDescent="0.2">
      <c r="A33" s="27" t="s">
        <v>552</v>
      </c>
      <c r="B33" s="27" t="s">
        <v>553</v>
      </c>
      <c r="C33" s="29" t="s">
        <v>557</v>
      </c>
      <c r="D33" s="22" t="s">
        <v>555</v>
      </c>
      <c r="E33" s="37">
        <v>9</v>
      </c>
      <c r="F33" s="14"/>
      <c r="G33" s="14"/>
      <c r="H33" s="12"/>
      <c r="I33" s="13"/>
    </row>
    <row r="34" spans="1:9" x14ac:dyDescent="0.2">
      <c r="A34" s="27" t="s">
        <v>552</v>
      </c>
      <c r="B34" s="27" t="s">
        <v>553</v>
      </c>
      <c r="C34" s="29" t="s">
        <v>557</v>
      </c>
      <c r="D34" s="22" t="s">
        <v>555</v>
      </c>
      <c r="E34" s="37">
        <v>11</v>
      </c>
      <c r="F34" s="14"/>
      <c r="G34" s="14"/>
      <c r="H34" s="12"/>
      <c r="I34" s="13"/>
    </row>
    <row r="35" spans="1:9" x14ac:dyDescent="0.2">
      <c r="A35" s="27" t="s">
        <v>552</v>
      </c>
      <c r="B35" s="27" t="s">
        <v>553</v>
      </c>
      <c r="C35" s="29" t="s">
        <v>557</v>
      </c>
      <c r="D35" s="22" t="s">
        <v>555</v>
      </c>
      <c r="E35" s="37">
        <v>15</v>
      </c>
      <c r="F35" s="14"/>
      <c r="G35" s="14"/>
      <c r="H35" s="12"/>
      <c r="I35" s="13"/>
    </row>
    <row r="36" spans="1:9" x14ac:dyDescent="0.2">
      <c r="A36" s="27" t="s">
        <v>552</v>
      </c>
      <c r="B36" s="27" t="s">
        <v>553</v>
      </c>
      <c r="C36" s="29" t="s">
        <v>557</v>
      </c>
      <c r="D36" s="22" t="s">
        <v>555</v>
      </c>
      <c r="E36" s="37">
        <v>19</v>
      </c>
      <c r="F36" s="14"/>
      <c r="G36" s="14"/>
      <c r="H36" s="12"/>
      <c r="I36" s="13"/>
    </row>
    <row r="37" spans="1:9" x14ac:dyDescent="0.2">
      <c r="A37" s="27" t="s">
        <v>552</v>
      </c>
      <c r="B37" s="27" t="s">
        <v>553</v>
      </c>
      <c r="C37" s="29" t="s">
        <v>557</v>
      </c>
      <c r="D37" s="22" t="s">
        <v>555</v>
      </c>
      <c r="E37" s="37">
        <v>20</v>
      </c>
      <c r="F37" s="14"/>
      <c r="G37" s="14"/>
      <c r="H37" s="12"/>
      <c r="I37" s="13"/>
    </row>
    <row r="38" spans="1:9" x14ac:dyDescent="0.2">
      <c r="A38" s="27" t="s">
        <v>552</v>
      </c>
      <c r="B38" s="27" t="s">
        <v>553</v>
      </c>
      <c r="C38" s="29" t="s">
        <v>557</v>
      </c>
      <c r="D38" s="22" t="s">
        <v>555</v>
      </c>
      <c r="E38" s="37">
        <v>25</v>
      </c>
      <c r="F38" s="14"/>
      <c r="G38" s="14"/>
      <c r="H38" s="12"/>
      <c r="I38" s="13"/>
    </row>
    <row r="39" spans="1:9" x14ac:dyDescent="0.2">
      <c r="A39" s="27" t="s">
        <v>552</v>
      </c>
      <c r="B39" s="27" t="s">
        <v>553</v>
      </c>
      <c r="C39" s="29" t="s">
        <v>557</v>
      </c>
      <c r="D39" s="22" t="s">
        <v>555</v>
      </c>
      <c r="E39" s="37">
        <v>28</v>
      </c>
      <c r="F39" s="14"/>
      <c r="G39" s="14"/>
      <c r="H39" s="12"/>
      <c r="I39" s="13"/>
    </row>
    <row r="40" spans="1:9" x14ac:dyDescent="0.2">
      <c r="A40" s="27" t="s">
        <v>552</v>
      </c>
      <c r="B40" s="27" t="s">
        <v>553</v>
      </c>
      <c r="C40" s="29" t="s">
        <v>557</v>
      </c>
      <c r="D40" s="22" t="s">
        <v>555</v>
      </c>
      <c r="E40" s="37">
        <v>40</v>
      </c>
      <c r="F40" s="14"/>
      <c r="G40" s="14"/>
      <c r="H40" s="12"/>
      <c r="I40" s="13"/>
    </row>
    <row r="41" spans="1:9" x14ac:dyDescent="0.2">
      <c r="A41" s="27" t="s">
        <v>552</v>
      </c>
      <c r="B41" s="27" t="s">
        <v>553</v>
      </c>
      <c r="C41" s="29" t="s">
        <v>557</v>
      </c>
      <c r="D41" s="22" t="s">
        <v>1</v>
      </c>
      <c r="E41" s="37">
        <v>7</v>
      </c>
      <c r="F41" s="14"/>
      <c r="G41" s="14"/>
      <c r="H41" s="12"/>
      <c r="I41" s="13"/>
    </row>
    <row r="42" spans="1:9" x14ac:dyDescent="0.2">
      <c r="A42" s="27" t="s">
        <v>552</v>
      </c>
      <c r="B42" s="27" t="s">
        <v>553</v>
      </c>
      <c r="C42" s="29" t="s">
        <v>557</v>
      </c>
      <c r="D42" s="22" t="s">
        <v>1</v>
      </c>
      <c r="E42" s="37">
        <v>9</v>
      </c>
      <c r="F42" s="14"/>
      <c r="G42" s="14"/>
      <c r="H42" s="12"/>
      <c r="I42" s="13"/>
    </row>
    <row r="43" spans="1:9" x14ac:dyDescent="0.2">
      <c r="A43" s="27" t="s">
        <v>552</v>
      </c>
      <c r="B43" s="27" t="s">
        <v>553</v>
      </c>
      <c r="C43" s="29" t="s">
        <v>557</v>
      </c>
      <c r="D43" s="22" t="s">
        <v>1</v>
      </c>
      <c r="E43" s="37">
        <v>11</v>
      </c>
      <c r="F43" s="14"/>
      <c r="G43" s="14"/>
      <c r="H43" s="12"/>
      <c r="I43" s="13"/>
    </row>
    <row r="44" spans="1:9" x14ac:dyDescent="0.2">
      <c r="A44" s="27" t="s">
        <v>552</v>
      </c>
      <c r="B44" s="27" t="s">
        <v>553</v>
      </c>
      <c r="C44" s="29" t="s">
        <v>557</v>
      </c>
      <c r="D44" s="22" t="s">
        <v>1</v>
      </c>
      <c r="E44" s="37">
        <v>12</v>
      </c>
      <c r="F44" s="14"/>
      <c r="G44" s="14"/>
      <c r="H44" s="12"/>
      <c r="I44" s="13"/>
    </row>
    <row r="45" spans="1:9" x14ac:dyDescent="0.2">
      <c r="A45" s="27" t="s">
        <v>552</v>
      </c>
      <c r="B45" s="27" t="s">
        <v>553</v>
      </c>
      <c r="C45" s="29" t="s">
        <v>557</v>
      </c>
      <c r="D45" s="22" t="s">
        <v>1</v>
      </c>
      <c r="E45" s="37">
        <v>16</v>
      </c>
      <c r="F45" s="14"/>
      <c r="G45" s="14"/>
      <c r="H45" s="12"/>
      <c r="I45" s="13"/>
    </row>
    <row r="46" spans="1:9" x14ac:dyDescent="0.2">
      <c r="A46" s="27" t="s">
        <v>552</v>
      </c>
      <c r="B46" s="27" t="s">
        <v>553</v>
      </c>
      <c r="C46" s="29" t="s">
        <v>557</v>
      </c>
      <c r="D46" s="22" t="s">
        <v>1</v>
      </c>
      <c r="E46" s="37">
        <v>18</v>
      </c>
      <c r="F46" s="14"/>
      <c r="G46" s="14"/>
      <c r="H46" s="12"/>
      <c r="I46" s="13"/>
    </row>
    <row r="47" spans="1:9" x14ac:dyDescent="0.2">
      <c r="A47" s="27" t="s">
        <v>552</v>
      </c>
      <c r="B47" s="27" t="s">
        <v>553</v>
      </c>
      <c r="C47" s="29" t="s">
        <v>557</v>
      </c>
      <c r="D47" s="22" t="s">
        <v>1</v>
      </c>
      <c r="E47" s="37">
        <v>18</v>
      </c>
      <c r="F47" s="14"/>
      <c r="G47" s="14"/>
      <c r="H47" s="12"/>
      <c r="I47" s="13"/>
    </row>
    <row r="48" spans="1:9" x14ac:dyDescent="0.2">
      <c r="A48" s="27" t="s">
        <v>552</v>
      </c>
      <c r="B48" s="27" t="s">
        <v>553</v>
      </c>
      <c r="C48" s="29" t="s">
        <v>557</v>
      </c>
      <c r="D48" s="22" t="s">
        <v>1</v>
      </c>
      <c r="E48" s="37">
        <v>21</v>
      </c>
      <c r="F48" s="14"/>
      <c r="G48" s="14"/>
      <c r="H48" s="12"/>
      <c r="I48" s="13"/>
    </row>
    <row r="49" spans="1:9" x14ac:dyDescent="0.2">
      <c r="A49" s="27" t="s">
        <v>552</v>
      </c>
      <c r="B49" s="27" t="s">
        <v>553</v>
      </c>
      <c r="C49" s="29" t="s">
        <v>557</v>
      </c>
      <c r="D49" s="22" t="s">
        <v>1</v>
      </c>
      <c r="E49" s="37">
        <v>27</v>
      </c>
      <c r="F49" s="14"/>
      <c r="G49" s="14"/>
      <c r="H49" s="12"/>
      <c r="I49" s="13"/>
    </row>
    <row r="50" spans="1:9" x14ac:dyDescent="0.2">
      <c r="A50" s="27" t="s">
        <v>552</v>
      </c>
      <c r="B50" s="27" t="s">
        <v>553</v>
      </c>
      <c r="C50" s="29" t="s">
        <v>557</v>
      </c>
      <c r="D50" s="22" t="s">
        <v>1</v>
      </c>
      <c r="E50" s="37">
        <v>33</v>
      </c>
      <c r="F50" s="14"/>
      <c r="G50" s="14"/>
      <c r="H50" s="12"/>
      <c r="I50" s="13"/>
    </row>
    <row r="51" spans="1:9" x14ac:dyDescent="0.2">
      <c r="A51" s="27" t="s">
        <v>552</v>
      </c>
      <c r="B51" s="27" t="s">
        <v>553</v>
      </c>
      <c r="C51" s="29" t="s">
        <v>557</v>
      </c>
      <c r="D51" s="22" t="s">
        <v>1</v>
      </c>
      <c r="E51" s="37">
        <v>46</v>
      </c>
      <c r="F51" s="14"/>
      <c r="G51" s="14"/>
      <c r="H51" s="12"/>
      <c r="I51" s="13"/>
    </row>
    <row r="52" spans="1:9" x14ac:dyDescent="0.2">
      <c r="A52" s="27" t="s">
        <v>552</v>
      </c>
      <c r="B52" s="27" t="s">
        <v>553</v>
      </c>
      <c r="C52" s="29" t="s">
        <v>557</v>
      </c>
      <c r="D52" s="22" t="s">
        <v>556</v>
      </c>
      <c r="E52" s="37">
        <v>5</v>
      </c>
      <c r="F52" s="14"/>
      <c r="G52" s="14"/>
      <c r="H52" s="12"/>
      <c r="I52" s="13"/>
    </row>
    <row r="53" spans="1:9" x14ac:dyDescent="0.2">
      <c r="A53" s="27" t="s">
        <v>552</v>
      </c>
      <c r="B53" s="27" t="s">
        <v>553</v>
      </c>
      <c r="C53" s="29" t="s">
        <v>557</v>
      </c>
      <c r="D53" s="22" t="s">
        <v>556</v>
      </c>
      <c r="E53" s="37">
        <v>6</v>
      </c>
      <c r="F53" s="14"/>
      <c r="G53" s="14"/>
      <c r="H53" s="12"/>
      <c r="I53" s="13"/>
    </row>
    <row r="54" spans="1:9" x14ac:dyDescent="0.2">
      <c r="A54" s="27" t="s">
        <v>552</v>
      </c>
      <c r="B54" s="27" t="s">
        <v>553</v>
      </c>
      <c r="C54" s="29" t="s">
        <v>557</v>
      </c>
      <c r="D54" s="22" t="s">
        <v>556</v>
      </c>
      <c r="E54" s="37">
        <v>7</v>
      </c>
      <c r="F54" s="14"/>
      <c r="G54" s="14"/>
      <c r="H54" s="12"/>
      <c r="I54" s="13"/>
    </row>
    <row r="55" spans="1:9" x14ac:dyDescent="0.2">
      <c r="A55" s="27" t="s">
        <v>552</v>
      </c>
      <c r="B55" s="27" t="s">
        <v>553</v>
      </c>
      <c r="C55" s="29" t="s">
        <v>557</v>
      </c>
      <c r="D55" s="22" t="s">
        <v>556</v>
      </c>
      <c r="E55" s="37">
        <v>8</v>
      </c>
      <c r="F55" s="14"/>
      <c r="G55" s="14"/>
      <c r="H55" s="12"/>
      <c r="I55" s="13"/>
    </row>
    <row r="56" spans="1:9" x14ac:dyDescent="0.2">
      <c r="A56" s="27" t="s">
        <v>552</v>
      </c>
      <c r="B56" s="27" t="s">
        <v>553</v>
      </c>
      <c r="C56" s="29" t="s">
        <v>557</v>
      </c>
      <c r="D56" s="22" t="s">
        <v>556</v>
      </c>
      <c r="E56" s="37">
        <v>10</v>
      </c>
      <c r="F56" s="14"/>
      <c r="G56" s="14"/>
      <c r="H56" s="12"/>
      <c r="I56" s="13"/>
    </row>
    <row r="57" spans="1:9" x14ac:dyDescent="0.2">
      <c r="A57" s="27" t="s">
        <v>552</v>
      </c>
      <c r="B57" s="27" t="s">
        <v>553</v>
      </c>
      <c r="C57" s="29" t="s">
        <v>557</v>
      </c>
      <c r="D57" s="22" t="s">
        <v>556</v>
      </c>
      <c r="E57" s="37">
        <v>16</v>
      </c>
      <c r="F57" s="14"/>
      <c r="G57" s="14"/>
      <c r="H57" s="12"/>
      <c r="I57" s="13"/>
    </row>
    <row r="58" spans="1:9" x14ac:dyDescent="0.2">
      <c r="A58" s="27" t="s">
        <v>552</v>
      </c>
      <c r="B58" s="27" t="s">
        <v>553</v>
      </c>
      <c r="C58" s="29" t="s">
        <v>557</v>
      </c>
      <c r="D58" s="22" t="s">
        <v>556</v>
      </c>
      <c r="E58" s="37">
        <v>17</v>
      </c>
      <c r="F58" s="14"/>
      <c r="G58" s="14"/>
      <c r="H58" s="12"/>
      <c r="I58" s="13"/>
    </row>
    <row r="59" spans="1:9" x14ac:dyDescent="0.2">
      <c r="A59" s="27" t="s">
        <v>552</v>
      </c>
      <c r="B59" s="27" t="s">
        <v>553</v>
      </c>
      <c r="C59" s="29" t="s">
        <v>557</v>
      </c>
      <c r="D59" s="22" t="s">
        <v>556</v>
      </c>
      <c r="E59" s="37">
        <v>18</v>
      </c>
      <c r="F59" s="14"/>
      <c r="G59" s="14"/>
      <c r="H59" s="12"/>
      <c r="I59" s="13"/>
    </row>
    <row r="60" spans="1:9" x14ac:dyDescent="0.2">
      <c r="A60" s="27" t="s">
        <v>552</v>
      </c>
      <c r="B60" s="27" t="s">
        <v>553</v>
      </c>
      <c r="C60" s="29" t="s">
        <v>557</v>
      </c>
      <c r="D60" s="22" t="s">
        <v>556</v>
      </c>
      <c r="E60" s="37">
        <v>22</v>
      </c>
      <c r="F60" s="14"/>
      <c r="G60" s="14"/>
      <c r="H60" s="12"/>
      <c r="I60" s="13"/>
    </row>
    <row r="61" spans="1:9" x14ac:dyDescent="0.2">
      <c r="A61" s="27" t="s">
        <v>552</v>
      </c>
      <c r="B61" s="27" t="s">
        <v>553</v>
      </c>
      <c r="C61" s="29" t="s">
        <v>557</v>
      </c>
      <c r="D61" s="22" t="s">
        <v>556</v>
      </c>
      <c r="E61" s="37">
        <v>22</v>
      </c>
      <c r="F61" s="14"/>
      <c r="G61" s="14"/>
      <c r="H61" s="12"/>
      <c r="I61" s="13"/>
    </row>
    <row r="62" spans="1:9" x14ac:dyDescent="0.2">
      <c r="A62" s="27" t="s">
        <v>552</v>
      </c>
      <c r="B62" s="27" t="s">
        <v>553</v>
      </c>
      <c r="C62" s="29" t="s">
        <v>557</v>
      </c>
      <c r="D62" s="22" t="s">
        <v>556</v>
      </c>
      <c r="E62" s="37">
        <v>35</v>
      </c>
      <c r="F62" s="14"/>
      <c r="G62" s="14"/>
      <c r="H62" s="12"/>
      <c r="I62" s="13"/>
    </row>
    <row r="63" spans="1:9" x14ac:dyDescent="0.2">
      <c r="A63" s="133" t="s">
        <v>552</v>
      </c>
      <c r="B63" s="133" t="s">
        <v>553</v>
      </c>
      <c r="C63" s="134" t="s">
        <v>558</v>
      </c>
      <c r="D63" s="135" t="s">
        <v>559</v>
      </c>
      <c r="E63" s="137">
        <v>3</v>
      </c>
      <c r="F63" s="11"/>
      <c r="G63" s="11"/>
      <c r="H63" s="12"/>
      <c r="I63" s="13"/>
    </row>
    <row r="64" spans="1:9" x14ac:dyDescent="0.2">
      <c r="A64" s="133"/>
      <c r="B64" s="133"/>
      <c r="C64" s="134"/>
      <c r="D64" s="136"/>
      <c r="E64" s="137"/>
      <c r="F64" s="14"/>
      <c r="G64" s="14"/>
      <c r="H64" s="12"/>
      <c r="I64" s="13"/>
    </row>
    <row r="65" spans="1:9" x14ac:dyDescent="0.2">
      <c r="A65" s="133" t="s">
        <v>552</v>
      </c>
      <c r="B65" s="133" t="s">
        <v>553</v>
      </c>
      <c r="C65" s="134" t="s">
        <v>558</v>
      </c>
      <c r="D65" s="135" t="s">
        <v>559</v>
      </c>
      <c r="E65" s="137">
        <v>4</v>
      </c>
      <c r="F65" s="11"/>
      <c r="G65" s="11"/>
      <c r="H65" s="12"/>
      <c r="I65" s="13"/>
    </row>
    <row r="66" spans="1:9" x14ac:dyDescent="0.2">
      <c r="A66" s="133"/>
      <c r="B66" s="133"/>
      <c r="C66" s="134"/>
      <c r="D66" s="136"/>
      <c r="E66" s="137"/>
      <c r="F66" s="14"/>
      <c r="G66" s="14"/>
      <c r="H66" s="12"/>
      <c r="I66" s="13"/>
    </row>
    <row r="67" spans="1:9" x14ac:dyDescent="0.2">
      <c r="A67" s="133" t="s">
        <v>552</v>
      </c>
      <c r="B67" s="133" t="s">
        <v>553</v>
      </c>
      <c r="C67" s="134" t="s">
        <v>558</v>
      </c>
      <c r="D67" s="135" t="s">
        <v>559</v>
      </c>
      <c r="E67" s="137">
        <v>5</v>
      </c>
      <c r="F67" s="14"/>
      <c r="G67" s="14"/>
      <c r="H67" s="12"/>
      <c r="I67" s="13"/>
    </row>
    <row r="68" spans="1:9" x14ac:dyDescent="0.2">
      <c r="A68" s="133"/>
      <c r="B68" s="133"/>
      <c r="C68" s="134"/>
      <c r="D68" s="136"/>
      <c r="E68" s="137"/>
      <c r="F68" s="11"/>
      <c r="G68" s="11"/>
      <c r="H68" s="12"/>
      <c r="I68" s="13"/>
    </row>
    <row r="69" spans="1:9" x14ac:dyDescent="0.2">
      <c r="A69" s="133" t="s">
        <v>552</v>
      </c>
      <c r="B69" s="133" t="s">
        <v>553</v>
      </c>
      <c r="C69" s="134" t="s">
        <v>558</v>
      </c>
      <c r="D69" s="135" t="s">
        <v>559</v>
      </c>
      <c r="E69" s="137">
        <v>6</v>
      </c>
      <c r="F69" s="14"/>
      <c r="G69" s="14"/>
      <c r="H69" s="12"/>
      <c r="I69" s="13"/>
    </row>
    <row r="70" spans="1:9" x14ac:dyDescent="0.2">
      <c r="A70" s="133"/>
      <c r="B70" s="133"/>
      <c r="C70" s="134"/>
      <c r="D70" s="136"/>
      <c r="E70" s="137"/>
      <c r="F70" s="11"/>
      <c r="G70" s="11"/>
      <c r="H70" s="12"/>
      <c r="I70" s="13"/>
    </row>
    <row r="71" spans="1:9" x14ac:dyDescent="0.2">
      <c r="A71" s="133" t="s">
        <v>552</v>
      </c>
      <c r="B71" s="133" t="s">
        <v>553</v>
      </c>
      <c r="C71" s="134" t="s">
        <v>558</v>
      </c>
      <c r="D71" s="135" t="s">
        <v>559</v>
      </c>
      <c r="E71" s="137">
        <v>9</v>
      </c>
      <c r="F71" s="14"/>
      <c r="G71" s="14"/>
      <c r="H71" s="12"/>
      <c r="I71" s="13"/>
    </row>
    <row r="72" spans="1:9" x14ac:dyDescent="0.2">
      <c r="A72" s="133"/>
      <c r="B72" s="133"/>
      <c r="C72" s="134"/>
      <c r="D72" s="136"/>
      <c r="E72" s="137"/>
      <c r="F72" s="11"/>
      <c r="G72" s="11"/>
      <c r="H72" s="12"/>
      <c r="I72" s="13"/>
    </row>
    <row r="73" spans="1:9" x14ac:dyDescent="0.2">
      <c r="A73" s="133" t="s">
        <v>552</v>
      </c>
      <c r="B73" s="133" t="s">
        <v>553</v>
      </c>
      <c r="C73" s="134" t="s">
        <v>558</v>
      </c>
      <c r="D73" s="135" t="s">
        <v>559</v>
      </c>
      <c r="E73" s="137">
        <v>11</v>
      </c>
      <c r="F73" s="14"/>
      <c r="G73" s="14"/>
      <c r="H73" s="12"/>
      <c r="I73" s="13"/>
    </row>
    <row r="74" spans="1:9" x14ac:dyDescent="0.2">
      <c r="A74" s="133"/>
      <c r="B74" s="133"/>
      <c r="C74" s="134"/>
      <c r="D74" s="136"/>
      <c r="E74" s="137"/>
      <c r="F74" s="11"/>
      <c r="G74" s="11"/>
      <c r="H74" s="12"/>
      <c r="I74" s="13"/>
    </row>
    <row r="75" spans="1:9" x14ac:dyDescent="0.2">
      <c r="A75" s="133" t="s">
        <v>552</v>
      </c>
      <c r="B75" s="133" t="s">
        <v>553</v>
      </c>
      <c r="C75" s="134" t="s">
        <v>558</v>
      </c>
      <c r="D75" s="135" t="s">
        <v>559</v>
      </c>
      <c r="E75" s="137">
        <v>20</v>
      </c>
      <c r="F75" s="14"/>
      <c r="G75" s="14"/>
      <c r="H75" s="12"/>
      <c r="I75" s="13"/>
    </row>
    <row r="76" spans="1:9" x14ac:dyDescent="0.2">
      <c r="A76" s="133"/>
      <c r="B76" s="133"/>
      <c r="C76" s="134"/>
      <c r="D76" s="136"/>
      <c r="E76" s="137"/>
      <c r="F76" s="11"/>
      <c r="G76" s="11"/>
      <c r="H76" s="12"/>
      <c r="I76" s="13"/>
    </row>
  </sheetData>
  <mergeCells count="36">
    <mergeCell ref="A1:I1"/>
    <mergeCell ref="D63:D64"/>
    <mergeCell ref="C63:C64"/>
    <mergeCell ref="E63:E64"/>
    <mergeCell ref="A63:A64"/>
    <mergeCell ref="B63:B64"/>
    <mergeCell ref="A65:A66"/>
    <mergeCell ref="B65:B66"/>
    <mergeCell ref="C65:C66"/>
    <mergeCell ref="D65:D66"/>
    <mergeCell ref="E65:E66"/>
    <mergeCell ref="A67:A68"/>
    <mergeCell ref="B67:B68"/>
    <mergeCell ref="C67:C68"/>
    <mergeCell ref="D67:D68"/>
    <mergeCell ref="E67:E68"/>
    <mergeCell ref="A69:A70"/>
    <mergeCell ref="B69:B70"/>
    <mergeCell ref="C69:C70"/>
    <mergeCell ref="D69:D70"/>
    <mergeCell ref="E69:E70"/>
    <mergeCell ref="A71:A72"/>
    <mergeCell ref="B71:B72"/>
    <mergeCell ref="C71:C72"/>
    <mergeCell ref="D71:D72"/>
    <mergeCell ref="E71:E72"/>
    <mergeCell ref="A73:A74"/>
    <mergeCell ref="B73:B74"/>
    <mergeCell ref="C73:C74"/>
    <mergeCell ref="D73:D74"/>
    <mergeCell ref="E73:E74"/>
    <mergeCell ref="A75:A76"/>
    <mergeCell ref="B75:B76"/>
    <mergeCell ref="C75:C76"/>
    <mergeCell ref="D75:D76"/>
    <mergeCell ref="E75:E76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K125"/>
  <sheetViews>
    <sheetView showGridLines="0" zoomScale="85" zoomScaleNormal="85" workbookViewId="0">
      <pane ySplit="2" topLeftCell="A6" activePane="bottomLeft" state="frozen"/>
      <selection sqref="A1:IV1"/>
      <selection pane="bottomLeft" activeCell="L15" sqref="L15"/>
    </sheetView>
  </sheetViews>
  <sheetFormatPr baseColWidth="10" defaultColWidth="23.5703125" defaultRowHeight="15.75" x14ac:dyDescent="0.2"/>
  <cols>
    <col min="1" max="1" width="21.85546875" style="63" bestFit="1" customWidth="1"/>
    <col min="2" max="2" width="8.140625" style="63" bestFit="1" customWidth="1"/>
    <col min="3" max="3" width="8.42578125" style="63" bestFit="1" customWidth="1"/>
    <col min="4" max="4" width="13.5703125" style="65" bestFit="1" customWidth="1"/>
    <col min="5" max="5" width="3.28515625" style="86" bestFit="1" customWidth="1"/>
    <col min="6" max="6" width="29.5703125" style="68" customWidth="1"/>
    <col min="7" max="7" width="12.28515625" style="69" bestFit="1" customWidth="1"/>
    <col min="8" max="8" width="22.5703125" style="69" bestFit="1" customWidth="1"/>
    <col min="9" max="9" width="14.7109375" style="69" customWidth="1"/>
    <col min="10" max="10" width="7.42578125" style="66" customWidth="1"/>
    <col min="11" max="11" width="8.140625" style="67" bestFit="1" customWidth="1"/>
    <col min="12" max="16384" width="23.5703125" style="64"/>
  </cols>
  <sheetData>
    <row r="1" spans="1:11" s="62" customFormat="1" x14ac:dyDescent="0.25">
      <c r="A1" s="139" t="s">
        <v>560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s="2" customFormat="1" ht="12.75" x14ac:dyDescent="0.2">
      <c r="A2" s="3"/>
      <c r="D2" s="70"/>
      <c r="E2" s="4"/>
      <c r="F2" s="31">
        <v>45631</v>
      </c>
      <c r="G2" s="5"/>
      <c r="H2" s="5"/>
      <c r="I2" s="5"/>
      <c r="J2" s="71"/>
      <c r="K2" s="30"/>
    </row>
    <row r="3" spans="1:11" s="2" customFormat="1" ht="12.75" x14ac:dyDescent="0.2">
      <c r="A3" s="76" t="s">
        <v>561</v>
      </c>
      <c r="B3" s="76" t="s">
        <v>553</v>
      </c>
      <c r="C3" s="77" t="s">
        <v>554</v>
      </c>
      <c r="D3" s="78" t="s">
        <v>562</v>
      </c>
      <c r="E3" s="83">
        <v>1</v>
      </c>
      <c r="F3" s="75" t="s">
        <v>288</v>
      </c>
      <c r="G3" s="75" t="s">
        <v>302</v>
      </c>
      <c r="H3" s="73" t="s">
        <v>9</v>
      </c>
      <c r="I3" s="74" t="s">
        <v>303</v>
      </c>
      <c r="J3" s="96">
        <v>563.96200005373339</v>
      </c>
      <c r="K3" s="80"/>
    </row>
    <row r="4" spans="1:11" s="2" customFormat="1" ht="12.75" x14ac:dyDescent="0.2">
      <c r="A4" s="76" t="s">
        <v>561</v>
      </c>
      <c r="B4" s="76" t="s">
        <v>553</v>
      </c>
      <c r="C4" s="77" t="s">
        <v>554</v>
      </c>
      <c r="D4" s="78" t="s">
        <v>562</v>
      </c>
      <c r="E4" s="84" t="str">
        <f>"2"</f>
        <v>2</v>
      </c>
      <c r="F4" s="75" t="s">
        <v>285</v>
      </c>
      <c r="G4" s="75" t="s">
        <v>286</v>
      </c>
      <c r="H4" s="73" t="s">
        <v>25</v>
      </c>
      <c r="I4" s="74" t="s">
        <v>287</v>
      </c>
      <c r="J4" s="96">
        <v>561.96200005373339</v>
      </c>
      <c r="K4" s="80"/>
    </row>
    <row r="5" spans="1:11" s="2" customFormat="1" ht="12.75" x14ac:dyDescent="0.2">
      <c r="A5" s="76" t="s">
        <v>561</v>
      </c>
      <c r="B5" s="76" t="s">
        <v>553</v>
      </c>
      <c r="C5" s="77" t="s">
        <v>554</v>
      </c>
      <c r="D5" s="78" t="s">
        <v>562</v>
      </c>
      <c r="E5" s="84">
        <v>3</v>
      </c>
      <c r="F5" s="75" t="s">
        <v>108</v>
      </c>
      <c r="G5" s="75" t="s">
        <v>109</v>
      </c>
      <c r="H5" s="73" t="s">
        <v>25</v>
      </c>
      <c r="I5" s="74" t="s">
        <v>110</v>
      </c>
      <c r="J5" s="96">
        <v>558.96200005373339</v>
      </c>
      <c r="K5" s="80"/>
    </row>
    <row r="6" spans="1:11" s="2" customFormat="1" ht="12.75" x14ac:dyDescent="0.2">
      <c r="A6" s="76" t="s">
        <v>561</v>
      </c>
      <c r="B6" s="76" t="s">
        <v>553</v>
      </c>
      <c r="C6" s="77" t="s">
        <v>554</v>
      </c>
      <c r="D6" s="78" t="s">
        <v>562</v>
      </c>
      <c r="E6" s="84">
        <v>4</v>
      </c>
      <c r="F6" s="75" t="s">
        <v>59</v>
      </c>
      <c r="G6" s="75" t="s">
        <v>168</v>
      </c>
      <c r="H6" s="73" t="s">
        <v>25</v>
      </c>
      <c r="I6" s="74" t="s">
        <v>169</v>
      </c>
      <c r="J6" s="96">
        <v>555.96200005373339</v>
      </c>
      <c r="K6" s="80"/>
    </row>
    <row r="7" spans="1:11" s="2" customFormat="1" ht="12.75" x14ac:dyDescent="0.2">
      <c r="A7" s="76" t="s">
        <v>561</v>
      </c>
      <c r="B7" s="76" t="s">
        <v>553</v>
      </c>
      <c r="C7" s="77" t="s">
        <v>554</v>
      </c>
      <c r="D7" s="78" t="s">
        <v>562</v>
      </c>
      <c r="E7" s="84">
        <v>5</v>
      </c>
      <c r="F7" s="75" t="s">
        <v>219</v>
      </c>
      <c r="G7" s="75" t="s">
        <v>220</v>
      </c>
      <c r="H7" s="73" t="s">
        <v>25</v>
      </c>
      <c r="I7" s="74" t="s">
        <v>221</v>
      </c>
      <c r="J7" s="96">
        <v>539.96200005373339</v>
      </c>
      <c r="K7" s="80"/>
    </row>
    <row r="8" spans="1:11" s="2" customFormat="1" ht="12.75" x14ac:dyDescent="0.2">
      <c r="A8" s="76" t="s">
        <v>561</v>
      </c>
      <c r="B8" s="76" t="s">
        <v>553</v>
      </c>
      <c r="C8" s="77" t="s">
        <v>554</v>
      </c>
      <c r="D8" s="78" t="s">
        <v>562</v>
      </c>
      <c r="E8" s="84">
        <v>6</v>
      </c>
      <c r="F8" s="75" t="s">
        <v>275</v>
      </c>
      <c r="G8" s="75" t="s">
        <v>276</v>
      </c>
      <c r="H8" s="73" t="s">
        <v>13</v>
      </c>
      <c r="I8" s="74" t="s">
        <v>277</v>
      </c>
      <c r="J8" s="96">
        <v>532.96200005373339</v>
      </c>
      <c r="K8" s="80"/>
    </row>
    <row r="9" spans="1:11" s="2" customFormat="1" ht="12.75" x14ac:dyDescent="0.2">
      <c r="A9" s="76" t="s">
        <v>561</v>
      </c>
      <c r="B9" s="76" t="s">
        <v>553</v>
      </c>
      <c r="C9" s="77" t="s">
        <v>554</v>
      </c>
      <c r="D9" s="78" t="s">
        <v>562</v>
      </c>
      <c r="E9" s="84">
        <v>7</v>
      </c>
      <c r="F9" s="75" t="s">
        <v>403</v>
      </c>
      <c r="G9" s="75" t="s">
        <v>404</v>
      </c>
      <c r="H9" s="73" t="s">
        <v>9</v>
      </c>
      <c r="I9" s="74" t="s">
        <v>405</v>
      </c>
      <c r="J9" s="96" t="str">
        <f>"519,96"</f>
        <v>519,96</v>
      </c>
      <c r="K9" s="80"/>
    </row>
    <row r="10" spans="1:11" s="2" customFormat="1" ht="12.75" x14ac:dyDescent="0.2">
      <c r="A10" s="76" t="s">
        <v>561</v>
      </c>
      <c r="B10" s="76" t="s">
        <v>553</v>
      </c>
      <c r="C10" s="77" t="s">
        <v>554</v>
      </c>
      <c r="D10" s="78" t="s">
        <v>562</v>
      </c>
      <c r="E10" s="84" t="str">
        <f>"8"</f>
        <v>8</v>
      </c>
      <c r="F10" s="75" t="s">
        <v>15</v>
      </c>
      <c r="G10" s="75" t="s">
        <v>16</v>
      </c>
      <c r="H10" s="73" t="s">
        <v>17</v>
      </c>
      <c r="I10" s="74" t="s">
        <v>18</v>
      </c>
      <c r="J10" s="96" t="str">
        <f>"514,96"</f>
        <v>514,96</v>
      </c>
      <c r="K10" s="80"/>
    </row>
    <row r="11" spans="1:11" s="2" customFormat="1" ht="12.75" x14ac:dyDescent="0.2">
      <c r="A11" s="76" t="s">
        <v>561</v>
      </c>
      <c r="B11" s="76" t="s">
        <v>553</v>
      </c>
      <c r="C11" s="77" t="s">
        <v>554</v>
      </c>
      <c r="D11" s="78" t="s">
        <v>562</v>
      </c>
      <c r="E11" s="84" t="str">
        <f>"9"</f>
        <v>9</v>
      </c>
      <c r="F11" s="75" t="s">
        <v>469</v>
      </c>
      <c r="G11" s="75" t="s">
        <v>470</v>
      </c>
      <c r="H11" s="73" t="s">
        <v>54</v>
      </c>
      <c r="I11" s="74" t="s">
        <v>471</v>
      </c>
      <c r="J11" s="96" t="str">
        <f>"511,96"</f>
        <v>511,96</v>
      </c>
      <c r="K11" s="80"/>
    </row>
    <row r="12" spans="1:11" s="2" customFormat="1" ht="12.75" x14ac:dyDescent="0.2">
      <c r="A12" s="76" t="s">
        <v>561</v>
      </c>
      <c r="B12" s="76" t="s">
        <v>553</v>
      </c>
      <c r="C12" s="77" t="s">
        <v>554</v>
      </c>
      <c r="D12" s="78" t="s">
        <v>562</v>
      </c>
      <c r="E12" s="84" t="str">
        <f>"10"</f>
        <v>10</v>
      </c>
      <c r="F12" s="75" t="s">
        <v>23</v>
      </c>
      <c r="G12" s="75" t="s">
        <v>24</v>
      </c>
      <c r="H12" s="73" t="s">
        <v>25</v>
      </c>
      <c r="I12" s="74" t="s">
        <v>26</v>
      </c>
      <c r="J12" s="96" t="str">
        <f>"509,96"</f>
        <v>509,96</v>
      </c>
      <c r="K12" s="80"/>
    </row>
    <row r="13" spans="1:11" s="2" customFormat="1" ht="12.75" x14ac:dyDescent="0.2">
      <c r="A13" s="76" t="s">
        <v>561</v>
      </c>
      <c r="B13" s="76" t="s">
        <v>553</v>
      </c>
      <c r="C13" s="77" t="s">
        <v>554</v>
      </c>
      <c r="D13" s="78" t="s">
        <v>562</v>
      </c>
      <c r="E13" s="84" t="str">
        <f>"11"</f>
        <v>11</v>
      </c>
      <c r="F13" s="75" t="s">
        <v>362</v>
      </c>
      <c r="G13" s="75" t="s">
        <v>363</v>
      </c>
      <c r="H13" s="73" t="s">
        <v>25</v>
      </c>
      <c r="I13" s="74" t="s">
        <v>364</v>
      </c>
      <c r="J13" s="96" t="str">
        <f>"508,07"</f>
        <v>508,07</v>
      </c>
      <c r="K13" s="80"/>
    </row>
    <row r="14" spans="1:11" s="2" customFormat="1" ht="12.75" x14ac:dyDescent="0.2">
      <c r="A14" s="76" t="s">
        <v>561</v>
      </c>
      <c r="B14" s="76" t="s">
        <v>553</v>
      </c>
      <c r="C14" s="77" t="s">
        <v>554</v>
      </c>
      <c r="D14" s="78" t="s">
        <v>562</v>
      </c>
      <c r="E14" s="84" t="str">
        <f>"12"</f>
        <v>12</v>
      </c>
      <c r="F14" s="75" t="s">
        <v>523</v>
      </c>
      <c r="G14" s="75" t="s">
        <v>168</v>
      </c>
      <c r="H14" s="73" t="s">
        <v>563</v>
      </c>
      <c r="I14" s="74" t="s">
        <v>524</v>
      </c>
      <c r="J14" s="96" t="str">
        <f>"419,05"</f>
        <v>419,05</v>
      </c>
      <c r="K14" s="80"/>
    </row>
    <row r="15" spans="1:11" s="2" customFormat="1" ht="12.75" x14ac:dyDescent="0.2">
      <c r="A15" s="76" t="s">
        <v>561</v>
      </c>
      <c r="B15" s="76" t="s">
        <v>553</v>
      </c>
      <c r="C15" s="77" t="s">
        <v>554</v>
      </c>
      <c r="D15" s="78" t="s">
        <v>562</v>
      </c>
      <c r="E15" s="84" t="str">
        <f>"13"</f>
        <v>13</v>
      </c>
      <c r="F15" s="75" t="s">
        <v>191</v>
      </c>
      <c r="G15" s="75" t="s">
        <v>192</v>
      </c>
      <c r="H15" s="73" t="s">
        <v>54</v>
      </c>
      <c r="I15" s="74" t="s">
        <v>193</v>
      </c>
      <c r="J15" s="96" t="str">
        <f>"413,05"</f>
        <v>413,05</v>
      </c>
      <c r="K15" s="80"/>
    </row>
    <row r="16" spans="1:11" s="2" customFormat="1" ht="12.75" x14ac:dyDescent="0.2">
      <c r="A16" s="76" t="s">
        <v>561</v>
      </c>
      <c r="B16" s="76" t="s">
        <v>553</v>
      </c>
      <c r="C16" s="77" t="s">
        <v>554</v>
      </c>
      <c r="D16" s="78" t="s">
        <v>562</v>
      </c>
      <c r="E16" s="84" t="str">
        <f>"14"</f>
        <v>14</v>
      </c>
      <c r="F16" s="75" t="s">
        <v>214</v>
      </c>
      <c r="G16" s="75" t="s">
        <v>215</v>
      </c>
      <c r="H16" s="73" t="s">
        <v>25</v>
      </c>
      <c r="I16" s="74" t="s">
        <v>216</v>
      </c>
      <c r="J16" s="96" t="str">
        <f>"372,23"</f>
        <v>372,23</v>
      </c>
      <c r="K16" s="80"/>
    </row>
    <row r="17" spans="1:11" s="2" customFormat="1" ht="12.75" x14ac:dyDescent="0.2">
      <c r="A17" s="76" t="s">
        <v>561</v>
      </c>
      <c r="B17" s="76" t="s">
        <v>553</v>
      </c>
      <c r="C17" s="77" t="s">
        <v>554</v>
      </c>
      <c r="D17" s="78" t="s">
        <v>562</v>
      </c>
      <c r="E17" s="84" t="str">
        <f>"15"</f>
        <v>15</v>
      </c>
      <c r="F17" s="75" t="s">
        <v>86</v>
      </c>
      <c r="G17" s="75" t="s">
        <v>87</v>
      </c>
      <c r="H17" s="73" t="s">
        <v>25</v>
      </c>
      <c r="I17" s="74" t="s">
        <v>88</v>
      </c>
      <c r="J17" s="96" t="str">
        <f>"366,15"</f>
        <v>366,15</v>
      </c>
      <c r="K17" s="80"/>
    </row>
    <row r="18" spans="1:11" s="2" customFormat="1" ht="12.75" x14ac:dyDescent="0.2">
      <c r="A18" s="76" t="s">
        <v>561</v>
      </c>
      <c r="B18" s="76" t="s">
        <v>553</v>
      </c>
      <c r="C18" s="77" t="s">
        <v>554</v>
      </c>
      <c r="D18" s="78" t="s">
        <v>562</v>
      </c>
      <c r="E18" s="84" t="str">
        <f>"16"</f>
        <v>16</v>
      </c>
      <c r="F18" s="75" t="s">
        <v>96</v>
      </c>
      <c r="G18" s="75" t="s">
        <v>97</v>
      </c>
      <c r="H18" s="73" t="s">
        <v>25</v>
      </c>
      <c r="I18" s="74" t="s">
        <v>98</v>
      </c>
      <c r="J18" s="96" t="str">
        <f>"358,55"</f>
        <v>358,55</v>
      </c>
      <c r="K18" s="80"/>
    </row>
    <row r="19" spans="1:11" s="2" customFormat="1" ht="12.75" x14ac:dyDescent="0.2">
      <c r="A19" s="76" t="s">
        <v>561</v>
      </c>
      <c r="B19" s="76" t="s">
        <v>553</v>
      </c>
      <c r="C19" s="77" t="s">
        <v>554</v>
      </c>
      <c r="D19" s="78" t="s">
        <v>562</v>
      </c>
      <c r="E19" s="84" t="str">
        <f>"17"</f>
        <v>17</v>
      </c>
      <c r="F19" s="75" t="s">
        <v>314</v>
      </c>
      <c r="G19" s="75" t="s">
        <v>315</v>
      </c>
      <c r="H19" s="73" t="s">
        <v>25</v>
      </c>
      <c r="I19" s="74" t="s">
        <v>316</v>
      </c>
      <c r="J19" s="96" t="str">
        <f>"340,78"</f>
        <v>340,78</v>
      </c>
      <c r="K19" s="80"/>
    </row>
    <row r="20" spans="1:11" s="2" customFormat="1" ht="12.75" x14ac:dyDescent="0.2">
      <c r="A20" s="76" t="s">
        <v>561</v>
      </c>
      <c r="B20" s="76" t="s">
        <v>553</v>
      </c>
      <c r="C20" s="77" t="s">
        <v>554</v>
      </c>
      <c r="D20" s="78" t="s">
        <v>562</v>
      </c>
      <c r="E20" s="84" t="str">
        <f>"18"</f>
        <v>18</v>
      </c>
      <c r="F20" s="75" t="s">
        <v>431</v>
      </c>
      <c r="G20" s="75" t="s">
        <v>103</v>
      </c>
      <c r="H20" s="73" t="s">
        <v>432</v>
      </c>
      <c r="I20" s="74" t="s">
        <v>433</v>
      </c>
      <c r="J20" s="96" t="str">
        <f>"330,19"</f>
        <v>330,19</v>
      </c>
      <c r="K20" s="80"/>
    </row>
    <row r="21" spans="1:11" s="2" customFormat="1" ht="12.75" x14ac:dyDescent="0.2">
      <c r="A21" s="76" t="s">
        <v>561</v>
      </c>
      <c r="B21" s="76" t="s">
        <v>553</v>
      </c>
      <c r="C21" s="77" t="s">
        <v>554</v>
      </c>
      <c r="D21" s="78" t="s">
        <v>562</v>
      </c>
      <c r="E21" s="84" t="str">
        <f>"19"</f>
        <v>19</v>
      </c>
      <c r="F21" s="75" t="s">
        <v>493</v>
      </c>
      <c r="G21" s="75" t="s">
        <v>494</v>
      </c>
      <c r="H21" s="73" t="s">
        <v>25</v>
      </c>
      <c r="I21" s="74" t="s">
        <v>495</v>
      </c>
      <c r="J21" s="96" t="str">
        <f>"323,52"</f>
        <v>323,52</v>
      </c>
      <c r="K21" s="80"/>
    </row>
    <row r="22" spans="1:11" s="2" customFormat="1" ht="12.75" x14ac:dyDescent="0.2">
      <c r="A22" s="76" t="s">
        <v>561</v>
      </c>
      <c r="B22" s="76" t="s">
        <v>553</v>
      </c>
      <c r="C22" s="77" t="s">
        <v>554</v>
      </c>
      <c r="D22" s="78" t="s">
        <v>562</v>
      </c>
      <c r="E22" s="84" t="str">
        <f>"20"</f>
        <v>20</v>
      </c>
      <c r="F22" s="75" t="s">
        <v>426</v>
      </c>
      <c r="G22" s="75" t="s">
        <v>427</v>
      </c>
      <c r="H22" s="73" t="s">
        <v>54</v>
      </c>
      <c r="I22" s="74" t="s">
        <v>428</v>
      </c>
      <c r="J22" s="96" t="str">
        <f>"305,73"</f>
        <v>305,73</v>
      </c>
      <c r="K22" s="80"/>
    </row>
    <row r="23" spans="1:11" s="2" customFormat="1" ht="12.75" x14ac:dyDescent="0.2">
      <c r="A23" s="76" t="s">
        <v>561</v>
      </c>
      <c r="B23" s="76" t="s">
        <v>553</v>
      </c>
      <c r="C23" s="77" t="s">
        <v>554</v>
      </c>
      <c r="D23" s="78" t="s">
        <v>562</v>
      </c>
      <c r="E23" s="84" t="str">
        <f>"21"</f>
        <v>21</v>
      </c>
      <c r="F23" s="75" t="s">
        <v>449</v>
      </c>
      <c r="G23" s="75" t="s">
        <v>334</v>
      </c>
      <c r="H23" s="73" t="s">
        <v>450</v>
      </c>
      <c r="I23" s="74" t="s">
        <v>451</v>
      </c>
      <c r="J23" s="96" t="str">
        <f>"303,73"</f>
        <v>303,73</v>
      </c>
      <c r="K23" s="80"/>
    </row>
    <row r="24" spans="1:11" s="2" customFormat="1" ht="12.75" x14ac:dyDescent="0.2">
      <c r="A24" s="76" t="s">
        <v>561</v>
      </c>
      <c r="B24" s="76" t="s">
        <v>553</v>
      </c>
      <c r="C24" s="77" t="s">
        <v>554</v>
      </c>
      <c r="D24" s="78" t="s">
        <v>562</v>
      </c>
      <c r="E24" s="84" t="str">
        <f>"22"</f>
        <v>22</v>
      </c>
      <c r="F24" s="75" t="s">
        <v>420</v>
      </c>
      <c r="G24" s="75" t="s">
        <v>421</v>
      </c>
      <c r="H24" s="73" t="s">
        <v>25</v>
      </c>
      <c r="I24" s="74" t="s">
        <v>422</v>
      </c>
      <c r="J24" s="96" t="str">
        <f>"298,73"</f>
        <v>298,73</v>
      </c>
      <c r="K24" s="80"/>
    </row>
    <row r="25" spans="1:11" s="2" customFormat="1" ht="12.75" x14ac:dyDescent="0.2">
      <c r="A25" s="76" t="s">
        <v>561</v>
      </c>
      <c r="B25" s="76" t="s">
        <v>553</v>
      </c>
      <c r="C25" s="77" t="s">
        <v>554</v>
      </c>
      <c r="D25" s="78" t="s">
        <v>562</v>
      </c>
      <c r="E25" s="84" t="str">
        <f>"23"</f>
        <v>23</v>
      </c>
      <c r="F25" s="75" t="s">
        <v>173</v>
      </c>
      <c r="G25" s="75" t="s">
        <v>174</v>
      </c>
      <c r="H25" s="73" t="s">
        <v>25</v>
      </c>
      <c r="I25" s="74" t="s">
        <v>175</v>
      </c>
      <c r="J25" s="96" t="str">
        <f>"298,73"</f>
        <v>298,73</v>
      </c>
      <c r="K25" s="80"/>
    </row>
    <row r="26" spans="1:11" s="2" customFormat="1" ht="12.75" x14ac:dyDescent="0.2">
      <c r="A26" s="76" t="s">
        <v>561</v>
      </c>
      <c r="B26" s="76" t="s">
        <v>553</v>
      </c>
      <c r="C26" s="77" t="s">
        <v>554</v>
      </c>
      <c r="D26" s="78" t="s">
        <v>562</v>
      </c>
      <c r="E26" s="84" t="str">
        <f>"24"</f>
        <v>24</v>
      </c>
      <c r="F26" s="75" t="s">
        <v>203</v>
      </c>
      <c r="G26" s="75" t="s">
        <v>204</v>
      </c>
      <c r="H26" s="73" t="s">
        <v>205</v>
      </c>
      <c r="I26" s="74" t="s">
        <v>206</v>
      </c>
      <c r="J26" s="96" t="str">
        <f>"297,73"</f>
        <v>297,73</v>
      </c>
      <c r="K26" s="80"/>
    </row>
    <row r="27" spans="1:11" s="2" customFormat="1" ht="12.75" x14ac:dyDescent="0.2">
      <c r="A27" s="76" t="s">
        <v>561</v>
      </c>
      <c r="B27" s="76" t="s">
        <v>553</v>
      </c>
      <c r="C27" s="77" t="s">
        <v>554</v>
      </c>
      <c r="D27" s="78" t="s">
        <v>562</v>
      </c>
      <c r="E27" s="84" t="str">
        <f>"25"</f>
        <v>25</v>
      </c>
      <c r="F27" s="75" t="s">
        <v>356</v>
      </c>
      <c r="G27" s="75" t="s">
        <v>357</v>
      </c>
      <c r="H27" s="73" t="s">
        <v>21</v>
      </c>
      <c r="I27" s="74" t="s">
        <v>358</v>
      </c>
      <c r="J27" s="96" t="str">
        <f>"283,73"</f>
        <v>283,73</v>
      </c>
      <c r="K27" s="80"/>
    </row>
    <row r="28" spans="1:11" s="2" customFormat="1" ht="12.75" x14ac:dyDescent="0.2">
      <c r="A28" s="76" t="s">
        <v>561</v>
      </c>
      <c r="B28" s="76" t="s">
        <v>553</v>
      </c>
      <c r="C28" s="77" t="s">
        <v>554</v>
      </c>
      <c r="D28" s="78" t="s">
        <v>562</v>
      </c>
      <c r="E28" s="84" t="str">
        <f>"26"</f>
        <v>26</v>
      </c>
      <c r="F28" s="75" t="s">
        <v>491</v>
      </c>
      <c r="G28" s="75" t="s">
        <v>418</v>
      </c>
      <c r="H28" s="73" t="s">
        <v>17</v>
      </c>
      <c r="I28" s="74" t="s">
        <v>492</v>
      </c>
      <c r="J28" s="96" t="str">
        <f>"282,51"</f>
        <v>282,51</v>
      </c>
      <c r="K28" s="80"/>
    </row>
    <row r="29" spans="1:11" s="2" customFormat="1" ht="12.75" x14ac:dyDescent="0.2">
      <c r="A29" s="76" t="s">
        <v>561</v>
      </c>
      <c r="B29" s="76" t="s">
        <v>553</v>
      </c>
      <c r="C29" s="77" t="s">
        <v>554</v>
      </c>
      <c r="D29" s="78" t="s">
        <v>562</v>
      </c>
      <c r="E29" s="84" t="str">
        <f>"27"</f>
        <v>27</v>
      </c>
      <c r="F29" s="75" t="s">
        <v>525</v>
      </c>
      <c r="G29" s="75" t="s">
        <v>270</v>
      </c>
      <c r="H29" s="73" t="s">
        <v>25</v>
      </c>
      <c r="I29" s="74" t="s">
        <v>526</v>
      </c>
      <c r="J29" s="96" t="str">
        <f>"262,48"</f>
        <v>262,48</v>
      </c>
      <c r="K29" s="80"/>
    </row>
    <row r="30" spans="1:11" s="2" customFormat="1" ht="12.75" x14ac:dyDescent="0.2">
      <c r="A30" s="76" t="s">
        <v>561</v>
      </c>
      <c r="B30" s="76" t="s">
        <v>553</v>
      </c>
      <c r="C30" s="77" t="s">
        <v>554</v>
      </c>
      <c r="D30" s="78" t="s">
        <v>562</v>
      </c>
      <c r="E30" s="84" t="str">
        <f>"28"</f>
        <v>28</v>
      </c>
      <c r="F30" s="75" t="s">
        <v>517</v>
      </c>
      <c r="G30" s="75" t="s">
        <v>518</v>
      </c>
      <c r="H30" s="73" t="s">
        <v>25</v>
      </c>
      <c r="I30" s="74" t="s">
        <v>519</v>
      </c>
      <c r="J30" s="96" t="str">
        <f>"261,69"</f>
        <v>261,69</v>
      </c>
      <c r="K30" s="80"/>
    </row>
    <row r="31" spans="1:11" s="2" customFormat="1" ht="12.75" x14ac:dyDescent="0.2">
      <c r="A31" s="76" t="s">
        <v>561</v>
      </c>
      <c r="B31" s="76" t="s">
        <v>553</v>
      </c>
      <c r="C31" s="77" t="s">
        <v>554</v>
      </c>
      <c r="D31" s="78" t="s">
        <v>562</v>
      </c>
      <c r="E31" s="84" t="str">
        <f>"29"</f>
        <v>29</v>
      </c>
      <c r="F31" s="75" t="s">
        <v>143</v>
      </c>
      <c r="G31" s="75" t="s">
        <v>144</v>
      </c>
      <c r="H31" s="73" t="s">
        <v>25</v>
      </c>
      <c r="I31" s="74" t="s">
        <v>145</v>
      </c>
      <c r="J31" s="96" t="str">
        <f>"261,69"</f>
        <v>261,69</v>
      </c>
      <c r="K31" s="80"/>
    </row>
    <row r="32" spans="1:11" s="2" customFormat="1" ht="12.75" x14ac:dyDescent="0.2">
      <c r="A32" s="76" t="s">
        <v>561</v>
      </c>
      <c r="B32" s="76" t="s">
        <v>553</v>
      </c>
      <c r="C32" s="77" t="s">
        <v>554</v>
      </c>
      <c r="D32" s="78" t="s">
        <v>562</v>
      </c>
      <c r="E32" s="84" t="str">
        <f>"30"</f>
        <v>30</v>
      </c>
      <c r="F32" s="75" t="s">
        <v>481</v>
      </c>
      <c r="G32" s="75" t="s">
        <v>482</v>
      </c>
      <c r="H32" s="73" t="s">
        <v>25</v>
      </c>
      <c r="I32" s="74" t="s">
        <v>483</v>
      </c>
      <c r="J32" s="96" t="str">
        <f>"249,70"</f>
        <v>249,70</v>
      </c>
      <c r="K32" s="80"/>
    </row>
    <row r="33" spans="1:11" s="2" customFormat="1" ht="12.75" x14ac:dyDescent="0.2">
      <c r="A33" s="76" t="s">
        <v>561</v>
      </c>
      <c r="B33" s="76" t="s">
        <v>553</v>
      </c>
      <c r="C33" s="77" t="s">
        <v>554</v>
      </c>
      <c r="D33" s="78" t="s">
        <v>562</v>
      </c>
      <c r="E33" s="84" t="str">
        <f>"31"</f>
        <v>31</v>
      </c>
      <c r="F33" s="75" t="s">
        <v>512</v>
      </c>
      <c r="G33" s="75" t="s">
        <v>87</v>
      </c>
      <c r="H33" s="73" t="s">
        <v>507</v>
      </c>
      <c r="I33" s="74" t="s">
        <v>513</v>
      </c>
      <c r="J33" s="96" t="str">
        <f>"248,69"</f>
        <v>248,69</v>
      </c>
      <c r="K33" s="80"/>
    </row>
    <row r="34" spans="1:11" s="2" customFormat="1" ht="12.75" x14ac:dyDescent="0.2">
      <c r="A34" s="76" t="s">
        <v>561</v>
      </c>
      <c r="B34" s="76" t="s">
        <v>553</v>
      </c>
      <c r="C34" s="77" t="s">
        <v>554</v>
      </c>
      <c r="D34" s="78" t="s">
        <v>562</v>
      </c>
      <c r="E34" s="84" t="str">
        <f>"32"</f>
        <v>32</v>
      </c>
      <c r="F34" s="75" t="s">
        <v>231</v>
      </c>
      <c r="G34" s="75" t="s">
        <v>232</v>
      </c>
      <c r="H34" s="73" t="s">
        <v>17</v>
      </c>
      <c r="I34" s="74" t="s">
        <v>233</v>
      </c>
      <c r="J34" s="96" t="str">
        <f>"242,19"</f>
        <v>242,19</v>
      </c>
      <c r="K34" s="80"/>
    </row>
    <row r="35" spans="1:11" s="2" customFormat="1" ht="12.75" x14ac:dyDescent="0.2">
      <c r="A35" s="76" t="s">
        <v>561</v>
      </c>
      <c r="B35" s="76" t="s">
        <v>553</v>
      </c>
      <c r="C35" s="77" t="s">
        <v>554</v>
      </c>
      <c r="D35" s="78" t="s">
        <v>562</v>
      </c>
      <c r="E35" s="84" t="str">
        <f>"33"</f>
        <v>33</v>
      </c>
      <c r="F35" s="75" t="s">
        <v>345</v>
      </c>
      <c r="G35" s="75" t="s">
        <v>346</v>
      </c>
      <c r="H35" s="73" t="s">
        <v>25</v>
      </c>
      <c r="I35" s="74" t="s">
        <v>347</v>
      </c>
      <c r="J35" s="96" t="str">
        <f>"234,44"</f>
        <v>234,44</v>
      </c>
      <c r="K35" s="80"/>
    </row>
    <row r="36" spans="1:11" s="2" customFormat="1" ht="12.75" x14ac:dyDescent="0.2">
      <c r="A36" s="76" t="s">
        <v>561</v>
      </c>
      <c r="B36" s="76" t="s">
        <v>553</v>
      </c>
      <c r="C36" s="77" t="s">
        <v>554</v>
      </c>
      <c r="D36" s="78" t="s">
        <v>562</v>
      </c>
      <c r="E36" s="84" t="str">
        <f>"34"</f>
        <v>34</v>
      </c>
      <c r="F36" s="75" t="s">
        <v>68</v>
      </c>
      <c r="G36" s="75" t="s">
        <v>69</v>
      </c>
      <c r="H36" s="73" t="s">
        <v>25</v>
      </c>
      <c r="I36" s="74" t="s">
        <v>70</v>
      </c>
      <c r="J36" s="96" t="str">
        <f>"231,41"</f>
        <v>231,41</v>
      </c>
      <c r="K36" s="80"/>
    </row>
    <row r="37" spans="1:11" s="2" customFormat="1" ht="12.75" x14ac:dyDescent="0.2">
      <c r="A37" s="76" t="s">
        <v>561</v>
      </c>
      <c r="B37" s="76" t="s">
        <v>553</v>
      </c>
      <c r="C37" s="77" t="s">
        <v>554</v>
      </c>
      <c r="D37" s="78" t="s">
        <v>562</v>
      </c>
      <c r="E37" s="84" t="str">
        <f>"35"</f>
        <v>35</v>
      </c>
      <c r="F37" s="75" t="s">
        <v>209</v>
      </c>
      <c r="G37" s="75" t="s">
        <v>24</v>
      </c>
      <c r="H37" s="73" t="s">
        <v>21</v>
      </c>
      <c r="I37" s="74" t="s">
        <v>210</v>
      </c>
      <c r="J37" s="96" t="str">
        <f>"231,08"</f>
        <v>231,08</v>
      </c>
      <c r="K37" s="80"/>
    </row>
    <row r="38" spans="1:11" s="2" customFormat="1" ht="12.75" x14ac:dyDescent="0.2">
      <c r="A38" s="76" t="s">
        <v>561</v>
      </c>
      <c r="B38" s="76" t="s">
        <v>553</v>
      </c>
      <c r="C38" s="77" t="s">
        <v>554</v>
      </c>
      <c r="D38" s="78" t="s">
        <v>562</v>
      </c>
      <c r="E38" s="84" t="str">
        <f>"36"</f>
        <v>36</v>
      </c>
      <c r="F38" s="75" t="s">
        <v>329</v>
      </c>
      <c r="G38" s="75" t="s">
        <v>163</v>
      </c>
      <c r="H38" s="73" t="s">
        <v>9</v>
      </c>
      <c r="I38" s="74" t="s">
        <v>330</v>
      </c>
      <c r="J38" s="96" t="str">
        <f>"214,22"</f>
        <v>214,22</v>
      </c>
      <c r="K38" s="80"/>
    </row>
    <row r="39" spans="1:11" s="2" customFormat="1" ht="12.75" x14ac:dyDescent="0.2">
      <c r="A39" s="76" t="s">
        <v>561</v>
      </c>
      <c r="B39" s="76" t="s">
        <v>553</v>
      </c>
      <c r="C39" s="77" t="s">
        <v>554</v>
      </c>
      <c r="D39" s="78" t="s">
        <v>562</v>
      </c>
      <c r="E39" s="84" t="str">
        <f>"37"</f>
        <v>37</v>
      </c>
      <c r="F39" s="75" t="s">
        <v>496</v>
      </c>
      <c r="G39" s="75" t="s">
        <v>497</v>
      </c>
      <c r="H39" s="73" t="s">
        <v>25</v>
      </c>
      <c r="I39" s="74" t="s">
        <v>498</v>
      </c>
      <c r="J39" s="96" t="str">
        <f>"212,44"</f>
        <v>212,44</v>
      </c>
      <c r="K39" s="80"/>
    </row>
    <row r="40" spans="1:11" s="2" customFormat="1" ht="12.75" x14ac:dyDescent="0.2">
      <c r="A40" s="76" t="s">
        <v>561</v>
      </c>
      <c r="B40" s="76" t="s">
        <v>553</v>
      </c>
      <c r="C40" s="77" t="s">
        <v>554</v>
      </c>
      <c r="D40" s="78" t="s">
        <v>562</v>
      </c>
      <c r="E40" s="84" t="str">
        <f>"38"</f>
        <v>38</v>
      </c>
      <c r="F40" s="75" t="s">
        <v>291</v>
      </c>
      <c r="G40" s="75" t="s">
        <v>292</v>
      </c>
      <c r="H40" s="73" t="s">
        <v>25</v>
      </c>
      <c r="I40" s="74" t="s">
        <v>293</v>
      </c>
      <c r="J40" s="96" t="str">
        <f>"210,66"</f>
        <v>210,66</v>
      </c>
      <c r="K40" s="80"/>
    </row>
    <row r="41" spans="1:11" s="2" customFormat="1" ht="12.75" x14ac:dyDescent="0.2">
      <c r="A41" s="76" t="s">
        <v>561</v>
      </c>
      <c r="B41" s="76" t="s">
        <v>553</v>
      </c>
      <c r="C41" s="77" t="s">
        <v>554</v>
      </c>
      <c r="D41" s="78" t="s">
        <v>562</v>
      </c>
      <c r="E41" s="84" t="str">
        <f>"39"</f>
        <v>39</v>
      </c>
      <c r="F41" s="75" t="s">
        <v>377</v>
      </c>
      <c r="G41" s="75" t="s">
        <v>378</v>
      </c>
      <c r="H41" s="73" t="s">
        <v>21</v>
      </c>
      <c r="I41" s="74" t="s">
        <v>379</v>
      </c>
      <c r="J41" s="96" t="str">
        <f>"208,66"</f>
        <v>208,66</v>
      </c>
      <c r="K41" s="80"/>
    </row>
    <row r="42" spans="1:11" s="2" customFormat="1" ht="12.75" x14ac:dyDescent="0.2">
      <c r="A42" s="76" t="s">
        <v>561</v>
      </c>
      <c r="B42" s="76" t="s">
        <v>553</v>
      </c>
      <c r="C42" s="77" t="s">
        <v>554</v>
      </c>
      <c r="D42" s="78" t="s">
        <v>562</v>
      </c>
      <c r="E42" s="84" t="str">
        <f>"40"</f>
        <v>40</v>
      </c>
      <c r="F42" s="75" t="s">
        <v>80</v>
      </c>
      <c r="G42" s="75" t="s">
        <v>81</v>
      </c>
      <c r="H42" s="73" t="s">
        <v>25</v>
      </c>
      <c r="I42" s="74" t="s">
        <v>82</v>
      </c>
      <c r="J42" s="96" t="str">
        <f>"208,66"</f>
        <v>208,66</v>
      </c>
      <c r="K42" s="80"/>
    </row>
    <row r="43" spans="1:11" s="2" customFormat="1" ht="12.75" x14ac:dyDescent="0.2">
      <c r="A43" s="76" t="s">
        <v>561</v>
      </c>
      <c r="B43" s="76" t="s">
        <v>553</v>
      </c>
      <c r="C43" s="77" t="s">
        <v>554</v>
      </c>
      <c r="D43" s="78" t="s">
        <v>562</v>
      </c>
      <c r="E43" s="84" t="str">
        <f>"41"</f>
        <v>41</v>
      </c>
      <c r="F43" s="75" t="s">
        <v>149</v>
      </c>
      <c r="G43" s="75" t="s">
        <v>150</v>
      </c>
      <c r="H43" s="73" t="s">
        <v>25</v>
      </c>
      <c r="I43" s="74" t="s">
        <v>151</v>
      </c>
      <c r="J43" s="96" t="str">
        <f>"193,57"</f>
        <v>193,57</v>
      </c>
      <c r="K43" s="80"/>
    </row>
    <row r="44" spans="1:11" s="2" customFormat="1" ht="12.75" x14ac:dyDescent="0.2">
      <c r="A44" s="76" t="s">
        <v>561</v>
      </c>
      <c r="B44" s="76" t="s">
        <v>553</v>
      </c>
      <c r="C44" s="77" t="s">
        <v>554</v>
      </c>
      <c r="D44" s="78" t="s">
        <v>562</v>
      </c>
      <c r="E44" s="84" t="str">
        <f>"42"</f>
        <v>42</v>
      </c>
      <c r="F44" s="75" t="s">
        <v>125</v>
      </c>
      <c r="G44" s="75" t="s">
        <v>126</v>
      </c>
      <c r="H44" s="73" t="s">
        <v>25</v>
      </c>
      <c r="I44" s="74" t="s">
        <v>127</v>
      </c>
      <c r="J44" s="96" t="str">
        <f>"186,18"</f>
        <v>186,18</v>
      </c>
      <c r="K44" s="80"/>
    </row>
    <row r="45" spans="1:11" s="2" customFormat="1" ht="12.75" x14ac:dyDescent="0.2">
      <c r="A45" s="76" t="s">
        <v>561</v>
      </c>
      <c r="B45" s="76" t="s">
        <v>553</v>
      </c>
      <c r="C45" s="77" t="s">
        <v>554</v>
      </c>
      <c r="D45" s="78" t="s">
        <v>562</v>
      </c>
      <c r="E45" s="84" t="str">
        <f>"43"</f>
        <v>43</v>
      </c>
      <c r="F45" s="75" t="s">
        <v>185</v>
      </c>
      <c r="G45" s="75" t="s">
        <v>186</v>
      </c>
      <c r="H45" s="73" t="s">
        <v>54</v>
      </c>
      <c r="I45" s="74" t="s">
        <v>187</v>
      </c>
      <c r="J45" s="96" t="str">
        <f>"183,80"</f>
        <v>183,80</v>
      </c>
      <c r="K45" s="80"/>
    </row>
    <row r="46" spans="1:11" s="2" customFormat="1" ht="12.75" x14ac:dyDescent="0.2">
      <c r="A46" s="76" t="s">
        <v>561</v>
      </c>
      <c r="B46" s="76" t="s">
        <v>553</v>
      </c>
      <c r="C46" s="77" t="s">
        <v>554</v>
      </c>
      <c r="D46" s="78" t="s">
        <v>562</v>
      </c>
      <c r="E46" s="84" t="str">
        <f>"44"</f>
        <v>44</v>
      </c>
      <c r="F46" s="75" t="s">
        <v>318</v>
      </c>
      <c r="G46" s="75" t="s">
        <v>319</v>
      </c>
      <c r="H46" s="73" t="s">
        <v>25</v>
      </c>
      <c r="I46" s="74" t="s">
        <v>320</v>
      </c>
      <c r="J46" s="96" t="str">
        <f>"178,06"</f>
        <v>178,06</v>
      </c>
      <c r="K46" s="80"/>
    </row>
    <row r="47" spans="1:11" s="2" customFormat="1" ht="12.75" x14ac:dyDescent="0.2">
      <c r="A47" s="76" t="s">
        <v>561</v>
      </c>
      <c r="B47" s="76" t="s">
        <v>553</v>
      </c>
      <c r="C47" s="77" t="s">
        <v>554</v>
      </c>
      <c r="D47" s="78" t="s">
        <v>562</v>
      </c>
      <c r="E47" s="84" t="str">
        <f>"45"</f>
        <v>45</v>
      </c>
      <c r="F47" s="75" t="s">
        <v>62</v>
      </c>
      <c r="G47" s="75" t="s">
        <v>63</v>
      </c>
      <c r="H47" s="73" t="s">
        <v>25</v>
      </c>
      <c r="I47" s="74" t="s">
        <v>64</v>
      </c>
      <c r="J47" s="96" t="str">
        <f>"173,41"</f>
        <v>173,41</v>
      </c>
      <c r="K47" s="80"/>
    </row>
    <row r="48" spans="1:11" s="2" customFormat="1" ht="12.75" x14ac:dyDescent="0.2">
      <c r="A48" s="76" t="s">
        <v>561</v>
      </c>
      <c r="B48" s="76" t="s">
        <v>553</v>
      </c>
      <c r="C48" s="77" t="s">
        <v>554</v>
      </c>
      <c r="D48" s="78" t="s">
        <v>562</v>
      </c>
      <c r="E48" s="84" t="str">
        <f>"46"</f>
        <v>46</v>
      </c>
      <c r="F48" s="75" t="s">
        <v>520</v>
      </c>
      <c r="G48" s="75" t="s">
        <v>521</v>
      </c>
      <c r="H48" s="73" t="s">
        <v>312</v>
      </c>
      <c r="I48" s="74" t="s">
        <v>522</v>
      </c>
      <c r="J48" s="96" t="str">
        <f>"169,70"</f>
        <v>169,70</v>
      </c>
      <c r="K48" s="80"/>
    </row>
    <row r="49" spans="1:11" s="2" customFormat="1" ht="12.75" x14ac:dyDescent="0.2">
      <c r="A49" s="76" t="s">
        <v>561</v>
      </c>
      <c r="B49" s="76" t="s">
        <v>553</v>
      </c>
      <c r="C49" s="77" t="s">
        <v>554</v>
      </c>
      <c r="D49" s="78" t="s">
        <v>562</v>
      </c>
      <c r="E49" s="84" t="str">
        <f>"47"</f>
        <v>47</v>
      </c>
      <c r="F49" s="75" t="s">
        <v>397</v>
      </c>
      <c r="G49" s="75" t="s">
        <v>398</v>
      </c>
      <c r="H49" s="73" t="s">
        <v>54</v>
      </c>
      <c r="I49" s="74" t="s">
        <v>399</v>
      </c>
      <c r="J49" s="96" t="str">
        <f>"168,70"</f>
        <v>168,70</v>
      </c>
      <c r="K49" s="80"/>
    </row>
    <row r="50" spans="1:11" s="2" customFormat="1" ht="12.75" x14ac:dyDescent="0.2">
      <c r="A50" s="76" t="s">
        <v>561</v>
      </c>
      <c r="B50" s="76" t="s">
        <v>553</v>
      </c>
      <c r="C50" s="77" t="s">
        <v>554</v>
      </c>
      <c r="D50" s="78" t="s">
        <v>562</v>
      </c>
      <c r="E50" s="84" t="str">
        <f>"48"</f>
        <v>48</v>
      </c>
      <c r="F50" s="75" t="s">
        <v>269</v>
      </c>
      <c r="G50" s="75" t="s">
        <v>270</v>
      </c>
      <c r="H50" s="73" t="s">
        <v>25</v>
      </c>
      <c r="I50" s="74" t="s">
        <v>271</v>
      </c>
      <c r="J50" s="96" t="str">
        <f>"166,94"</f>
        <v>166,94</v>
      </c>
      <c r="K50" s="80"/>
    </row>
    <row r="51" spans="1:11" s="2" customFormat="1" ht="12.75" x14ac:dyDescent="0.2">
      <c r="A51" s="76" t="s">
        <v>561</v>
      </c>
      <c r="B51" s="76" t="s">
        <v>553</v>
      </c>
      <c r="C51" s="77" t="s">
        <v>554</v>
      </c>
      <c r="D51" s="78" t="s">
        <v>562</v>
      </c>
      <c r="E51" s="84" t="str">
        <f>"49"</f>
        <v>49</v>
      </c>
      <c r="F51" s="75" t="s">
        <v>414</v>
      </c>
      <c r="G51" s="75" t="s">
        <v>415</v>
      </c>
      <c r="H51" s="73" t="s">
        <v>25</v>
      </c>
      <c r="I51" s="74" t="s">
        <v>416</v>
      </c>
      <c r="J51" s="96" t="str">
        <f>"159,21"</f>
        <v>159,21</v>
      </c>
      <c r="K51" s="80"/>
    </row>
    <row r="52" spans="1:11" s="2" customFormat="1" ht="12.75" x14ac:dyDescent="0.2">
      <c r="A52" s="76" t="s">
        <v>561</v>
      </c>
      <c r="B52" s="76" t="s">
        <v>553</v>
      </c>
      <c r="C52" s="77" t="s">
        <v>554</v>
      </c>
      <c r="D52" s="78" t="s">
        <v>562</v>
      </c>
      <c r="E52" s="84" t="str">
        <f>"50"</f>
        <v>50</v>
      </c>
      <c r="F52" s="75" t="s">
        <v>74</v>
      </c>
      <c r="G52" s="75" t="s">
        <v>75</v>
      </c>
      <c r="H52" s="73" t="s">
        <v>25</v>
      </c>
      <c r="I52" s="74" t="s">
        <v>76</v>
      </c>
      <c r="J52" s="96" t="str">
        <f>"150,84"</f>
        <v>150,84</v>
      </c>
      <c r="K52" s="80"/>
    </row>
    <row r="53" spans="1:11" s="2" customFormat="1" ht="12.75" x14ac:dyDescent="0.2">
      <c r="A53" s="76" t="s">
        <v>561</v>
      </c>
      <c r="B53" s="76" t="s">
        <v>553</v>
      </c>
      <c r="C53" s="77" t="s">
        <v>554</v>
      </c>
      <c r="D53" s="78" t="s">
        <v>562</v>
      </c>
      <c r="E53" s="84" t="str">
        <f>"51"</f>
        <v>51</v>
      </c>
      <c r="F53" s="75" t="s">
        <v>36</v>
      </c>
      <c r="G53" s="75" t="s">
        <v>37</v>
      </c>
      <c r="H53" s="73" t="s">
        <v>17</v>
      </c>
      <c r="I53" s="74" t="s">
        <v>38</v>
      </c>
      <c r="J53" s="96" t="str">
        <f>"146,92"</f>
        <v>146,92</v>
      </c>
      <c r="K53" s="80"/>
    </row>
    <row r="54" spans="1:11" s="2" customFormat="1" ht="12.75" x14ac:dyDescent="0.2">
      <c r="A54" s="76" t="s">
        <v>561</v>
      </c>
      <c r="B54" s="76" t="s">
        <v>553</v>
      </c>
      <c r="C54" s="77" t="s">
        <v>554</v>
      </c>
      <c r="D54" s="78" t="s">
        <v>562</v>
      </c>
      <c r="E54" s="84" t="str">
        <f>"52"</f>
        <v>52</v>
      </c>
      <c r="F54" s="75" t="s">
        <v>506</v>
      </c>
      <c r="G54" s="75" t="s">
        <v>220</v>
      </c>
      <c r="H54" s="73" t="s">
        <v>507</v>
      </c>
      <c r="I54" s="74" t="s">
        <v>508</v>
      </c>
      <c r="J54" s="96" t="str">
        <f>"143,07"</f>
        <v>143,07</v>
      </c>
      <c r="K54" s="80"/>
    </row>
    <row r="55" spans="1:11" s="2" customFormat="1" ht="12.75" x14ac:dyDescent="0.2">
      <c r="A55" s="76" t="s">
        <v>561</v>
      </c>
      <c r="B55" s="76" t="s">
        <v>553</v>
      </c>
      <c r="C55" s="77" t="s">
        <v>554</v>
      </c>
      <c r="D55" s="78" t="s">
        <v>562</v>
      </c>
      <c r="E55" s="84" t="str">
        <f>"53"</f>
        <v>53</v>
      </c>
      <c r="F55" s="75" t="s">
        <v>391</v>
      </c>
      <c r="G55" s="75" t="s">
        <v>392</v>
      </c>
      <c r="H55" s="73" t="s">
        <v>17</v>
      </c>
      <c r="I55" s="74" t="s">
        <v>393</v>
      </c>
      <c r="J55" s="96" t="str">
        <f>"142,63"</f>
        <v>142,63</v>
      </c>
      <c r="K55" s="80"/>
    </row>
    <row r="56" spans="1:11" s="2" customFormat="1" ht="12.75" x14ac:dyDescent="0.2">
      <c r="A56" s="76" t="s">
        <v>561</v>
      </c>
      <c r="B56" s="76" t="s">
        <v>553</v>
      </c>
      <c r="C56" s="77" t="s">
        <v>554</v>
      </c>
      <c r="D56" s="78" t="s">
        <v>562</v>
      </c>
      <c r="E56" s="84" t="str">
        <f>"54"</f>
        <v>54</v>
      </c>
      <c r="F56" s="75" t="s">
        <v>197</v>
      </c>
      <c r="G56" s="75" t="s">
        <v>198</v>
      </c>
      <c r="H56" s="73" t="s">
        <v>9</v>
      </c>
      <c r="I56" s="74" t="s">
        <v>199</v>
      </c>
      <c r="J56" s="96" t="str">
        <f>"141,18"</f>
        <v>141,18</v>
      </c>
      <c r="K56" s="80"/>
    </row>
    <row r="57" spans="1:11" s="2" customFormat="1" ht="12.75" x14ac:dyDescent="0.2">
      <c r="A57" s="76" t="s">
        <v>561</v>
      </c>
      <c r="B57" s="76" t="s">
        <v>553</v>
      </c>
      <c r="C57" s="77" t="s">
        <v>554</v>
      </c>
      <c r="D57" s="78" t="s">
        <v>562</v>
      </c>
      <c r="E57" s="84" t="str">
        <f>"55"</f>
        <v>55</v>
      </c>
      <c r="F57" s="75" t="s">
        <v>509</v>
      </c>
      <c r="G57" s="75" t="s">
        <v>510</v>
      </c>
      <c r="H57" s="73" t="s">
        <v>450</v>
      </c>
      <c r="I57" s="74" t="s">
        <v>511</v>
      </c>
      <c r="J57" s="96" t="str">
        <f>"140,67"</f>
        <v>140,67</v>
      </c>
      <c r="K57" s="80"/>
    </row>
    <row r="58" spans="1:11" s="2" customFormat="1" ht="12.75" x14ac:dyDescent="0.2">
      <c r="A58" s="76" t="s">
        <v>561</v>
      </c>
      <c r="B58" s="76" t="s">
        <v>553</v>
      </c>
      <c r="C58" s="77" t="s">
        <v>554</v>
      </c>
      <c r="D58" s="78" t="s">
        <v>562</v>
      </c>
      <c r="E58" s="84" t="str">
        <f>"56"</f>
        <v>56</v>
      </c>
      <c r="F58" s="75" t="s">
        <v>49</v>
      </c>
      <c r="G58" s="75" t="s">
        <v>50</v>
      </c>
      <c r="H58" s="73" t="s">
        <v>17</v>
      </c>
      <c r="I58" s="74" t="s">
        <v>51</v>
      </c>
      <c r="J58" s="96" t="str">
        <f>"134,41"</f>
        <v>134,41</v>
      </c>
      <c r="K58" s="80"/>
    </row>
    <row r="59" spans="1:11" s="2" customFormat="1" ht="12.75" x14ac:dyDescent="0.2">
      <c r="A59" s="76" t="s">
        <v>561</v>
      </c>
      <c r="B59" s="76" t="s">
        <v>553</v>
      </c>
      <c r="C59" s="77" t="s">
        <v>554</v>
      </c>
      <c r="D59" s="78" t="s">
        <v>562</v>
      </c>
      <c r="E59" s="84" t="str">
        <f>"57"</f>
        <v>57</v>
      </c>
      <c r="F59" s="75" t="s">
        <v>56</v>
      </c>
      <c r="G59" s="75" t="s">
        <v>57</v>
      </c>
      <c r="H59" s="73" t="s">
        <v>25</v>
      </c>
      <c r="I59" s="74" t="s">
        <v>58</v>
      </c>
      <c r="J59" s="96" t="str">
        <f>"132,76"</f>
        <v>132,76</v>
      </c>
      <c r="K59" s="80"/>
    </row>
    <row r="60" spans="1:11" s="2" customFormat="1" ht="12.75" x14ac:dyDescent="0.2">
      <c r="A60" s="76" t="s">
        <v>561</v>
      </c>
      <c r="B60" s="76" t="s">
        <v>553</v>
      </c>
      <c r="C60" s="77" t="s">
        <v>554</v>
      </c>
      <c r="D60" s="78" t="s">
        <v>562</v>
      </c>
      <c r="E60" s="84" t="str">
        <f>"58"</f>
        <v>58</v>
      </c>
      <c r="F60" s="75" t="s">
        <v>43</v>
      </c>
      <c r="G60" s="75" t="s">
        <v>44</v>
      </c>
      <c r="H60" s="73" t="s">
        <v>25</v>
      </c>
      <c r="I60" s="74" t="s">
        <v>45</v>
      </c>
      <c r="J60" s="96" t="str">
        <f>"132,32"</f>
        <v>132,32</v>
      </c>
      <c r="K60" s="80"/>
    </row>
    <row r="61" spans="1:11" s="2" customFormat="1" ht="12.75" x14ac:dyDescent="0.2">
      <c r="A61" s="76" t="s">
        <v>561</v>
      </c>
      <c r="B61" s="76" t="s">
        <v>553</v>
      </c>
      <c r="C61" s="77" t="s">
        <v>554</v>
      </c>
      <c r="D61" s="78" t="s">
        <v>562</v>
      </c>
      <c r="E61" s="84" t="str">
        <f>"59"</f>
        <v>59</v>
      </c>
      <c r="F61" s="75" t="s">
        <v>409</v>
      </c>
      <c r="G61" s="75" t="s">
        <v>410</v>
      </c>
      <c r="H61" s="73" t="s">
        <v>54</v>
      </c>
      <c r="I61" s="74" t="s">
        <v>564</v>
      </c>
      <c r="J61" s="96" t="str">
        <f>"123,03"</f>
        <v>123,03</v>
      </c>
      <c r="K61" s="80"/>
    </row>
    <row r="62" spans="1:11" s="2" customFormat="1" ht="12.75" x14ac:dyDescent="0.2">
      <c r="A62" s="76" t="s">
        <v>561</v>
      </c>
      <c r="B62" s="76" t="s">
        <v>553</v>
      </c>
      <c r="C62" s="77" t="s">
        <v>554</v>
      </c>
      <c r="D62" s="78" t="s">
        <v>562</v>
      </c>
      <c r="E62" s="84" t="str">
        <f>"60"</f>
        <v>60</v>
      </c>
      <c r="F62" s="75" t="s">
        <v>265</v>
      </c>
      <c r="G62" s="75" t="s">
        <v>266</v>
      </c>
      <c r="H62" s="73" t="s">
        <v>17</v>
      </c>
      <c r="I62" s="74" t="s">
        <v>267</v>
      </c>
      <c r="J62" s="96" t="str">
        <f>"121,64"</f>
        <v>121,64</v>
      </c>
      <c r="K62" s="80"/>
    </row>
    <row r="63" spans="1:11" s="2" customFormat="1" ht="12.75" x14ac:dyDescent="0.2">
      <c r="A63" s="76" t="s">
        <v>561</v>
      </c>
      <c r="B63" s="76" t="s">
        <v>553</v>
      </c>
      <c r="C63" s="77" t="s">
        <v>554</v>
      </c>
      <c r="D63" s="78" t="s">
        <v>562</v>
      </c>
      <c r="E63" s="84" t="str">
        <f>"61"</f>
        <v>61</v>
      </c>
      <c r="F63" s="75" t="s">
        <v>114</v>
      </c>
      <c r="G63" s="75" t="s">
        <v>115</v>
      </c>
      <c r="H63" s="73" t="s">
        <v>17</v>
      </c>
      <c r="I63" s="74" t="s">
        <v>116</v>
      </c>
      <c r="J63" s="96" t="str">
        <f>"108,12"</f>
        <v>108,12</v>
      </c>
      <c r="K63" s="80"/>
    </row>
    <row r="64" spans="1:11" s="2" customFormat="1" ht="12.75" x14ac:dyDescent="0.2">
      <c r="A64" s="76" t="s">
        <v>561</v>
      </c>
      <c r="B64" s="76" t="s">
        <v>553</v>
      </c>
      <c r="C64" s="77" t="s">
        <v>554</v>
      </c>
      <c r="D64" s="78" t="s">
        <v>562</v>
      </c>
      <c r="E64" s="84" t="str">
        <f>"62"</f>
        <v>62</v>
      </c>
      <c r="F64" s="75" t="s">
        <v>437</v>
      </c>
      <c r="G64" s="75" t="s">
        <v>438</v>
      </c>
      <c r="H64" s="73" t="s">
        <v>21</v>
      </c>
      <c r="I64" s="74" t="s">
        <v>439</v>
      </c>
      <c r="J64" s="96" t="str">
        <f>"107,12"</f>
        <v>107,12</v>
      </c>
      <c r="K64" s="80"/>
    </row>
    <row r="65" spans="1:11" s="2" customFormat="1" ht="12.75" x14ac:dyDescent="0.2">
      <c r="A65" s="76" t="s">
        <v>561</v>
      </c>
      <c r="B65" s="76" t="s">
        <v>553</v>
      </c>
      <c r="C65" s="77" t="s">
        <v>554</v>
      </c>
      <c r="D65" s="78" t="s">
        <v>562</v>
      </c>
      <c r="E65" s="84" t="str">
        <f>"63"</f>
        <v>63</v>
      </c>
      <c r="F65" s="75" t="s">
        <v>339</v>
      </c>
      <c r="G65" s="75" t="s">
        <v>340</v>
      </c>
      <c r="H65" s="73" t="s">
        <v>54</v>
      </c>
      <c r="I65" s="74" t="s">
        <v>341</v>
      </c>
      <c r="J65" s="96" t="str">
        <f>"106,12"</f>
        <v>106,12</v>
      </c>
      <c r="K65" s="80"/>
    </row>
    <row r="66" spans="1:11" s="2" customFormat="1" ht="12.75" x14ac:dyDescent="0.2">
      <c r="A66" s="76" t="s">
        <v>561</v>
      </c>
      <c r="B66" s="76" t="s">
        <v>553</v>
      </c>
      <c r="C66" s="77" t="s">
        <v>554</v>
      </c>
      <c r="D66" s="78" t="s">
        <v>562</v>
      </c>
      <c r="E66" s="84" t="str">
        <f>"64"</f>
        <v>64</v>
      </c>
      <c r="F66" s="75" t="s">
        <v>387</v>
      </c>
      <c r="G66" s="75" t="s">
        <v>115</v>
      </c>
      <c r="H66" s="73" t="s">
        <v>17</v>
      </c>
      <c r="I66" s="74" t="s">
        <v>388</v>
      </c>
      <c r="J66" s="96" t="str">
        <f>"103,80"</f>
        <v>103,80</v>
      </c>
      <c r="K66" s="80"/>
    </row>
    <row r="67" spans="1:11" s="2" customFormat="1" ht="12.75" x14ac:dyDescent="0.2">
      <c r="A67" s="76" t="s">
        <v>561</v>
      </c>
      <c r="B67" s="76" t="s">
        <v>553</v>
      </c>
      <c r="C67" s="77" t="s">
        <v>554</v>
      </c>
      <c r="D67" s="78" t="s">
        <v>562</v>
      </c>
      <c r="E67" s="84" t="str">
        <f>"65"</f>
        <v>65</v>
      </c>
      <c r="F67" s="75" t="s">
        <v>253</v>
      </c>
      <c r="G67" s="75" t="s">
        <v>254</v>
      </c>
      <c r="H67" s="73" t="s">
        <v>17</v>
      </c>
      <c r="I67" s="74" t="s">
        <v>255</v>
      </c>
      <c r="J67" s="96" t="str">
        <f>"90,25"</f>
        <v>90,25</v>
      </c>
      <c r="K67" s="80"/>
    </row>
    <row r="68" spans="1:11" s="2" customFormat="1" ht="12.75" x14ac:dyDescent="0.2">
      <c r="A68" s="76" t="s">
        <v>561</v>
      </c>
      <c r="B68" s="76" t="s">
        <v>553</v>
      </c>
      <c r="C68" s="77" t="s">
        <v>554</v>
      </c>
      <c r="D68" s="78" t="s">
        <v>562</v>
      </c>
      <c r="E68" s="84" t="str">
        <f>"66"</f>
        <v>66</v>
      </c>
      <c r="F68" s="75" t="s">
        <v>30</v>
      </c>
      <c r="G68" s="75" t="s">
        <v>31</v>
      </c>
      <c r="H68" s="73" t="s">
        <v>17</v>
      </c>
      <c r="I68" s="74" t="s">
        <v>32</v>
      </c>
      <c r="J68" s="96" t="str">
        <f>"90,25"</f>
        <v>90,25</v>
      </c>
      <c r="K68" s="80"/>
    </row>
    <row r="69" spans="1:11" s="2" customFormat="1" ht="12.75" x14ac:dyDescent="0.2">
      <c r="A69" s="76" t="s">
        <v>561</v>
      </c>
      <c r="B69" s="76" t="s">
        <v>553</v>
      </c>
      <c r="C69" s="77" t="s">
        <v>554</v>
      </c>
      <c r="D69" s="78" t="s">
        <v>562</v>
      </c>
      <c r="E69" s="84" t="str">
        <f>"67"</f>
        <v>67</v>
      </c>
      <c r="F69" s="75" t="s">
        <v>333</v>
      </c>
      <c r="G69" s="75" t="s">
        <v>334</v>
      </c>
      <c r="H69" s="73" t="s">
        <v>21</v>
      </c>
      <c r="I69" s="74" t="s">
        <v>335</v>
      </c>
      <c r="J69" s="96" t="str">
        <f>"90,25"</f>
        <v>90,25</v>
      </c>
      <c r="K69" s="80"/>
    </row>
    <row r="70" spans="1:11" s="2" customFormat="1" ht="12.75" x14ac:dyDescent="0.2">
      <c r="A70" s="76" t="s">
        <v>561</v>
      </c>
      <c r="B70" s="76" t="s">
        <v>553</v>
      </c>
      <c r="C70" s="77" t="s">
        <v>554</v>
      </c>
      <c r="D70" s="78" t="s">
        <v>562</v>
      </c>
      <c r="E70" s="84" t="str">
        <f>"68"</f>
        <v>68</v>
      </c>
      <c r="F70" s="75" t="s">
        <v>504</v>
      </c>
      <c r="G70" s="75" t="s">
        <v>242</v>
      </c>
      <c r="H70" s="73" t="s">
        <v>312</v>
      </c>
      <c r="I70" s="74" t="s">
        <v>505</v>
      </c>
      <c r="J70" s="96" t="str">
        <f>"90,25"</f>
        <v>90,25</v>
      </c>
      <c r="K70" s="80"/>
    </row>
    <row r="71" spans="1:11" s="2" customFormat="1" ht="12.75" x14ac:dyDescent="0.2">
      <c r="A71" s="76" t="s">
        <v>561</v>
      </c>
      <c r="B71" s="76" t="s">
        <v>553</v>
      </c>
      <c r="C71" s="77" t="s">
        <v>554</v>
      </c>
      <c r="D71" s="78" t="s">
        <v>562</v>
      </c>
      <c r="E71" s="84" t="str">
        <f>"69"</f>
        <v>69</v>
      </c>
      <c r="F71" s="75" t="s">
        <v>236</v>
      </c>
      <c r="G71" s="75" t="s">
        <v>180</v>
      </c>
      <c r="H71" s="73" t="s">
        <v>54</v>
      </c>
      <c r="I71" s="74" t="s">
        <v>237</v>
      </c>
      <c r="J71" s="96" t="str">
        <f>"89,25"</f>
        <v>89,25</v>
      </c>
      <c r="K71" s="80"/>
    </row>
    <row r="72" spans="1:11" s="2" customFormat="1" ht="12.75" x14ac:dyDescent="0.2">
      <c r="A72" s="76" t="s">
        <v>561</v>
      </c>
      <c r="B72" s="76" t="s">
        <v>553</v>
      </c>
      <c r="C72" s="77" t="s">
        <v>554</v>
      </c>
      <c r="D72" s="78" t="s">
        <v>562</v>
      </c>
      <c r="E72" s="84" t="str">
        <f>"70"</f>
        <v>70</v>
      </c>
      <c r="F72" s="75" t="s">
        <v>423</v>
      </c>
      <c r="G72" s="75" t="s">
        <v>180</v>
      </c>
      <c r="H72" s="73" t="s">
        <v>9</v>
      </c>
      <c r="I72" s="74" t="s">
        <v>425</v>
      </c>
      <c r="J72" s="96" t="str">
        <f>"88,25"</f>
        <v>88,25</v>
      </c>
      <c r="K72" s="80"/>
    </row>
    <row r="73" spans="1:11" s="2" customFormat="1" ht="12.75" x14ac:dyDescent="0.2">
      <c r="A73" s="76" t="s">
        <v>561</v>
      </c>
      <c r="B73" s="76" t="s">
        <v>553</v>
      </c>
      <c r="C73" s="77" t="s">
        <v>554</v>
      </c>
      <c r="D73" s="78" t="s">
        <v>562</v>
      </c>
      <c r="E73" s="84" t="str">
        <f>"71"</f>
        <v>71</v>
      </c>
      <c r="F73" s="75" t="s">
        <v>137</v>
      </c>
      <c r="G73" s="75" t="s">
        <v>138</v>
      </c>
      <c r="H73" s="73" t="s">
        <v>17</v>
      </c>
      <c r="I73" s="74" t="s">
        <v>139</v>
      </c>
      <c r="J73" s="96" t="str">
        <f>"86,25"</f>
        <v>86,25</v>
      </c>
      <c r="K73" s="80"/>
    </row>
    <row r="74" spans="1:11" s="2" customFormat="1" ht="12.75" x14ac:dyDescent="0.2">
      <c r="A74" s="76" t="s">
        <v>561</v>
      </c>
      <c r="B74" s="76" t="s">
        <v>553</v>
      </c>
      <c r="C74" s="77" t="s">
        <v>554</v>
      </c>
      <c r="D74" s="78" t="s">
        <v>562</v>
      </c>
      <c r="E74" s="84" t="str">
        <f>"71"</f>
        <v>71</v>
      </c>
      <c r="F74" s="75" t="s">
        <v>7</v>
      </c>
      <c r="G74" s="75" t="s">
        <v>8</v>
      </c>
      <c r="H74" s="73" t="s">
        <v>9</v>
      </c>
      <c r="I74" s="74" t="s">
        <v>10</v>
      </c>
      <c r="J74" s="96" t="str">
        <f>"86,25"</f>
        <v>86,25</v>
      </c>
      <c r="K74" s="80"/>
    </row>
    <row r="75" spans="1:11" s="2" customFormat="1" ht="12.75" x14ac:dyDescent="0.2">
      <c r="A75" s="76" t="s">
        <v>561</v>
      </c>
      <c r="B75" s="76" t="s">
        <v>553</v>
      </c>
      <c r="C75" s="77" t="s">
        <v>554</v>
      </c>
      <c r="D75" s="78" t="s">
        <v>562</v>
      </c>
      <c r="E75" s="84" t="str">
        <f>"73"</f>
        <v>73</v>
      </c>
      <c r="F75" s="75" t="s">
        <v>429</v>
      </c>
      <c r="G75" s="75" t="s">
        <v>180</v>
      </c>
      <c r="H75" s="73" t="s">
        <v>9</v>
      </c>
      <c r="I75" s="74" t="s">
        <v>430</v>
      </c>
      <c r="J75" s="96" t="str">
        <f>"76,97"</f>
        <v>76,97</v>
      </c>
      <c r="K75" s="80"/>
    </row>
    <row r="76" spans="1:11" s="2" customFormat="1" ht="12.75" x14ac:dyDescent="0.2">
      <c r="A76" s="76" t="s">
        <v>561</v>
      </c>
      <c r="B76" s="76" t="s">
        <v>553</v>
      </c>
      <c r="C76" s="77" t="s">
        <v>554</v>
      </c>
      <c r="D76" s="78" t="s">
        <v>562</v>
      </c>
      <c r="E76" s="84" t="str">
        <f>"74"</f>
        <v>74</v>
      </c>
      <c r="F76" s="75" t="s">
        <v>484</v>
      </c>
      <c r="G76" s="75" t="s">
        <v>8</v>
      </c>
      <c r="H76" s="73" t="s">
        <v>17</v>
      </c>
      <c r="I76" s="74" t="s">
        <v>485</v>
      </c>
      <c r="J76" s="96" t="str">
        <f>"40,90"</f>
        <v>40,90</v>
      </c>
      <c r="K76" s="80"/>
    </row>
    <row r="77" spans="1:11" s="2" customFormat="1" ht="12.75" x14ac:dyDescent="0.2">
      <c r="A77" s="76" t="s">
        <v>561</v>
      </c>
      <c r="B77" s="76" t="s">
        <v>553</v>
      </c>
      <c r="C77" s="77" t="s">
        <v>554</v>
      </c>
      <c r="D77" s="78" t="s">
        <v>562</v>
      </c>
      <c r="E77" s="84" t="str">
        <f>"NC"</f>
        <v>NC</v>
      </c>
      <c r="F77" s="75" t="s">
        <v>565</v>
      </c>
      <c r="G77" s="75" t="s">
        <v>566</v>
      </c>
      <c r="H77" s="73" t="s">
        <v>312</v>
      </c>
      <c r="I77" s="74" t="s">
        <v>567</v>
      </c>
      <c r="J77" s="96" t="s">
        <v>568</v>
      </c>
      <c r="K77" s="80"/>
    </row>
    <row r="78" spans="1:11" s="2" customFormat="1" ht="12.75" x14ac:dyDescent="0.2">
      <c r="A78" s="76" t="s">
        <v>561</v>
      </c>
      <c r="B78" s="76" t="s">
        <v>553</v>
      </c>
      <c r="C78" s="77" t="s">
        <v>554</v>
      </c>
      <c r="D78" s="78" t="s">
        <v>562</v>
      </c>
      <c r="E78" s="84" t="str">
        <f>"NC"</f>
        <v>NC</v>
      </c>
      <c r="F78" s="75" t="s">
        <v>241</v>
      </c>
      <c r="G78" s="75" t="s">
        <v>242</v>
      </c>
      <c r="H78" s="73" t="s">
        <v>13</v>
      </c>
      <c r="I78" s="74" t="s">
        <v>243</v>
      </c>
      <c r="J78" s="96" t="s">
        <v>568</v>
      </c>
      <c r="K78" s="80"/>
    </row>
    <row r="79" spans="1:11" s="2" customFormat="1" ht="12.75" x14ac:dyDescent="0.2">
      <c r="A79" s="76" t="s">
        <v>561</v>
      </c>
      <c r="B79" s="76" t="s">
        <v>553</v>
      </c>
      <c r="C79" s="77" t="s">
        <v>554</v>
      </c>
      <c r="D79" s="78" t="s">
        <v>562</v>
      </c>
      <c r="E79" s="84" t="str">
        <f>"NC"</f>
        <v>NC</v>
      </c>
      <c r="F79" s="75" t="s">
        <v>102</v>
      </c>
      <c r="G79" s="75" t="s">
        <v>103</v>
      </c>
      <c r="H79" s="73" t="s">
        <v>13</v>
      </c>
      <c r="I79" s="74" t="s">
        <v>104</v>
      </c>
      <c r="J79" s="96" t="s">
        <v>568</v>
      </c>
      <c r="K79" s="80"/>
    </row>
    <row r="80" spans="1:11" s="2" customFormat="1" ht="12.75" x14ac:dyDescent="0.2">
      <c r="A80" s="76"/>
      <c r="B80" s="76"/>
      <c r="C80" s="77"/>
      <c r="D80" s="78"/>
      <c r="E80" s="84"/>
      <c r="F80" s="79"/>
      <c r="G80" s="79"/>
      <c r="H80" s="94"/>
      <c r="I80" s="94"/>
      <c r="J80" s="95"/>
      <c r="K80" s="80"/>
    </row>
    <row r="81" spans="1:11" s="2" customFormat="1" ht="12.75" x14ac:dyDescent="0.2">
      <c r="A81" s="76" t="s">
        <v>561</v>
      </c>
      <c r="B81" s="76" t="s">
        <v>553</v>
      </c>
      <c r="C81" s="81" t="s">
        <v>557</v>
      </c>
      <c r="D81" s="78" t="s">
        <v>562</v>
      </c>
      <c r="E81" s="92">
        <v>1</v>
      </c>
      <c r="F81" s="93" t="s">
        <v>288</v>
      </c>
      <c r="G81" s="93" t="s">
        <v>289</v>
      </c>
      <c r="H81" s="73" t="s">
        <v>41</v>
      </c>
      <c r="I81" s="74" t="s">
        <v>290</v>
      </c>
      <c r="J81" s="96">
        <v>2568.8000000000002</v>
      </c>
      <c r="K81" s="80"/>
    </row>
    <row r="82" spans="1:11" s="2" customFormat="1" ht="12.75" x14ac:dyDescent="0.2">
      <c r="A82" s="76" t="s">
        <v>561</v>
      </c>
      <c r="B82" s="76" t="s">
        <v>553</v>
      </c>
      <c r="C82" s="81" t="s">
        <v>557</v>
      </c>
      <c r="D82" s="78" t="s">
        <v>562</v>
      </c>
      <c r="E82" s="85">
        <v>2</v>
      </c>
      <c r="F82" s="93" t="s">
        <v>39</v>
      </c>
      <c r="G82" s="93" t="s">
        <v>40</v>
      </c>
      <c r="H82" s="73" t="s">
        <v>41</v>
      </c>
      <c r="I82" s="74" t="s">
        <v>42</v>
      </c>
      <c r="J82" s="96">
        <v>2552.8000000000002</v>
      </c>
      <c r="K82" s="80"/>
    </row>
    <row r="83" spans="1:11" s="2" customFormat="1" ht="12.75" x14ac:dyDescent="0.2">
      <c r="A83" s="76" t="s">
        <v>561</v>
      </c>
      <c r="B83" s="76" t="s">
        <v>553</v>
      </c>
      <c r="C83" s="81" t="s">
        <v>557</v>
      </c>
      <c r="D83" s="78" t="s">
        <v>562</v>
      </c>
      <c r="E83" s="85" t="str">
        <f>"3"</f>
        <v>3</v>
      </c>
      <c r="F83" s="93" t="s">
        <v>228</v>
      </c>
      <c r="G83" s="93" t="s">
        <v>229</v>
      </c>
      <c r="H83" s="73" t="s">
        <v>54</v>
      </c>
      <c r="I83" s="74" t="s">
        <v>230</v>
      </c>
      <c r="J83" s="96">
        <v>1040.8</v>
      </c>
      <c r="K83" s="82"/>
    </row>
    <row r="84" spans="1:11" s="2" customFormat="1" ht="12.75" x14ac:dyDescent="0.2">
      <c r="A84" s="76" t="s">
        <v>561</v>
      </c>
      <c r="B84" s="76" t="s">
        <v>553</v>
      </c>
      <c r="C84" s="81" t="s">
        <v>557</v>
      </c>
      <c r="D84" s="78" t="s">
        <v>562</v>
      </c>
      <c r="E84" s="85" t="str">
        <f>"4"</f>
        <v>4</v>
      </c>
      <c r="F84" s="93" t="s">
        <v>272</v>
      </c>
      <c r="G84" s="93" t="s">
        <v>273</v>
      </c>
      <c r="H84" s="73" t="s">
        <v>25</v>
      </c>
      <c r="I84" s="74" t="s">
        <v>274</v>
      </c>
      <c r="J84" s="96" t="str">
        <f>"789,80"</f>
        <v>789,80</v>
      </c>
      <c r="K84" s="80"/>
    </row>
    <row r="85" spans="1:11" s="2" customFormat="1" ht="12.75" x14ac:dyDescent="0.2">
      <c r="A85" s="76" t="s">
        <v>561</v>
      </c>
      <c r="B85" s="76" t="s">
        <v>553</v>
      </c>
      <c r="C85" s="81" t="s">
        <v>557</v>
      </c>
      <c r="D85" s="78" t="s">
        <v>562</v>
      </c>
      <c r="E85" s="85" t="str">
        <f>"5"</f>
        <v>5</v>
      </c>
      <c r="F85" s="93" t="s">
        <v>27</v>
      </c>
      <c r="G85" s="93" t="s">
        <v>28</v>
      </c>
      <c r="H85" s="73" t="s">
        <v>25</v>
      </c>
      <c r="I85" s="74" t="s">
        <v>29</v>
      </c>
      <c r="J85" s="96" t="str">
        <f>"636,13"</f>
        <v>636,13</v>
      </c>
      <c r="K85" s="80"/>
    </row>
    <row r="86" spans="1:11" s="2" customFormat="1" ht="12.75" x14ac:dyDescent="0.2">
      <c r="A86" s="76" t="s">
        <v>561</v>
      </c>
      <c r="B86" s="76" t="s">
        <v>553</v>
      </c>
      <c r="C86" s="81" t="s">
        <v>557</v>
      </c>
      <c r="D86" s="78" t="s">
        <v>562</v>
      </c>
      <c r="E86" s="85" t="str">
        <f>"6"</f>
        <v>6</v>
      </c>
      <c r="F86" s="93" t="s">
        <v>123</v>
      </c>
      <c r="G86" s="93" t="s">
        <v>118</v>
      </c>
      <c r="H86" s="73" t="s">
        <v>25</v>
      </c>
      <c r="I86" s="74" t="s">
        <v>124</v>
      </c>
      <c r="J86" s="96" t="str">
        <f>"599,80"</f>
        <v>599,80</v>
      </c>
      <c r="K86" s="80"/>
    </row>
    <row r="87" spans="1:11" s="2" customFormat="1" ht="12.75" x14ac:dyDescent="0.2">
      <c r="A87" s="76" t="s">
        <v>561</v>
      </c>
      <c r="B87" s="76" t="s">
        <v>553</v>
      </c>
      <c r="C87" s="81" t="s">
        <v>557</v>
      </c>
      <c r="D87" s="78" t="s">
        <v>562</v>
      </c>
      <c r="E87" s="85" t="str">
        <f>"7"</f>
        <v>7</v>
      </c>
      <c r="F87" s="93" t="s">
        <v>234</v>
      </c>
      <c r="G87" s="93" t="s">
        <v>208</v>
      </c>
      <c r="H87" s="73" t="s">
        <v>25</v>
      </c>
      <c r="I87" s="74" t="s">
        <v>235</v>
      </c>
      <c r="J87" s="96" t="str">
        <f>"576,02"</f>
        <v>576,02</v>
      </c>
      <c r="K87" s="80"/>
    </row>
    <row r="88" spans="1:11" s="2" customFormat="1" ht="12.75" x14ac:dyDescent="0.2">
      <c r="A88" s="76" t="s">
        <v>561</v>
      </c>
      <c r="B88" s="76" t="s">
        <v>553</v>
      </c>
      <c r="C88" s="81" t="s">
        <v>557</v>
      </c>
      <c r="D88" s="78" t="s">
        <v>562</v>
      </c>
      <c r="E88" s="85" t="str">
        <f>"8"</f>
        <v>8</v>
      </c>
      <c r="F88" s="93" t="s">
        <v>165</v>
      </c>
      <c r="G88" s="93" t="s">
        <v>166</v>
      </c>
      <c r="H88" s="73" t="s">
        <v>17</v>
      </c>
      <c r="I88" s="74" t="s">
        <v>167</v>
      </c>
      <c r="J88" s="96" t="str">
        <f>"493,69"</f>
        <v>493,69</v>
      </c>
      <c r="K88" s="80"/>
    </row>
    <row r="89" spans="1:11" s="2" customFormat="1" ht="12.75" x14ac:dyDescent="0.2">
      <c r="A89" s="76" t="s">
        <v>561</v>
      </c>
      <c r="B89" s="76" t="s">
        <v>553</v>
      </c>
      <c r="C89" s="81" t="s">
        <v>557</v>
      </c>
      <c r="D89" s="78" t="s">
        <v>562</v>
      </c>
      <c r="E89" s="85" t="str">
        <f>"9"</f>
        <v>9</v>
      </c>
      <c r="F89" s="93" t="s">
        <v>11</v>
      </c>
      <c r="G89" s="93" t="s">
        <v>12</v>
      </c>
      <c r="H89" s="73" t="s">
        <v>13</v>
      </c>
      <c r="I89" s="74" t="s">
        <v>14</v>
      </c>
      <c r="J89" s="96" t="str">
        <f>"435,13"</f>
        <v>435,13</v>
      </c>
      <c r="K89" s="80"/>
    </row>
    <row r="90" spans="1:11" s="2" customFormat="1" ht="12.75" x14ac:dyDescent="0.2">
      <c r="A90" s="76" t="s">
        <v>561</v>
      </c>
      <c r="B90" s="76" t="s">
        <v>553</v>
      </c>
      <c r="C90" s="81" t="s">
        <v>557</v>
      </c>
      <c r="D90" s="78" t="s">
        <v>562</v>
      </c>
      <c r="E90" s="85" t="str">
        <f>"10"</f>
        <v>10</v>
      </c>
      <c r="F90" s="93" t="s">
        <v>250</v>
      </c>
      <c r="G90" s="93" t="s">
        <v>251</v>
      </c>
      <c r="H90" s="73" t="s">
        <v>25</v>
      </c>
      <c r="I90" s="74" t="s">
        <v>252</v>
      </c>
      <c r="J90" s="96" t="str">
        <f>"429,13"</f>
        <v>429,13</v>
      </c>
      <c r="K90" s="80"/>
    </row>
    <row r="91" spans="1:11" s="2" customFormat="1" ht="12.75" x14ac:dyDescent="0.2">
      <c r="A91" s="76" t="s">
        <v>561</v>
      </c>
      <c r="B91" s="76" t="s">
        <v>553</v>
      </c>
      <c r="C91" s="81" t="s">
        <v>557</v>
      </c>
      <c r="D91" s="78" t="s">
        <v>562</v>
      </c>
      <c r="E91" s="85" t="str">
        <f>"11"</f>
        <v>11</v>
      </c>
      <c r="F91" s="93" t="s">
        <v>194</v>
      </c>
      <c r="G91" s="93" t="s">
        <v>195</v>
      </c>
      <c r="H91" s="73" t="s">
        <v>9</v>
      </c>
      <c r="I91" s="74" t="s">
        <v>196</v>
      </c>
      <c r="J91" s="96" t="str">
        <f>"388,13"</f>
        <v>388,13</v>
      </c>
      <c r="K91" s="80"/>
    </row>
    <row r="92" spans="1:11" s="2" customFormat="1" ht="12.75" x14ac:dyDescent="0.2">
      <c r="A92" s="76" t="s">
        <v>561</v>
      </c>
      <c r="B92" s="76" t="s">
        <v>553</v>
      </c>
      <c r="C92" s="81" t="s">
        <v>557</v>
      </c>
      <c r="D92" s="78" t="s">
        <v>562</v>
      </c>
      <c r="E92" s="85" t="str">
        <f>"12"</f>
        <v>12</v>
      </c>
      <c r="F92" s="93" t="s">
        <v>268</v>
      </c>
      <c r="G92" s="93" t="s">
        <v>166</v>
      </c>
      <c r="H92" s="73" t="s">
        <v>25</v>
      </c>
      <c r="I92" s="74" t="s">
        <v>161</v>
      </c>
      <c r="J92" s="96" t="str">
        <f>"329,02"</f>
        <v>329,02</v>
      </c>
      <c r="K92" s="80"/>
    </row>
    <row r="93" spans="1:11" s="2" customFormat="1" ht="12.75" x14ac:dyDescent="0.2">
      <c r="A93" s="76" t="s">
        <v>561</v>
      </c>
      <c r="B93" s="76" t="s">
        <v>553</v>
      </c>
      <c r="C93" s="81" t="s">
        <v>557</v>
      </c>
      <c r="D93" s="78" t="s">
        <v>562</v>
      </c>
      <c r="E93" s="85" t="str">
        <f>"13"</f>
        <v>13</v>
      </c>
      <c r="F93" s="93" t="s">
        <v>342</v>
      </c>
      <c r="G93" s="93" t="s">
        <v>343</v>
      </c>
      <c r="H93" s="73" t="s">
        <v>54</v>
      </c>
      <c r="I93" s="74" t="s">
        <v>344</v>
      </c>
      <c r="J93" s="96" t="str">
        <f>"329,02"</f>
        <v>329,02</v>
      </c>
      <c r="K93" s="80"/>
    </row>
    <row r="94" spans="1:11" s="2" customFormat="1" ht="12.75" x14ac:dyDescent="0.2">
      <c r="A94" s="76" t="s">
        <v>561</v>
      </c>
      <c r="B94" s="76" t="s">
        <v>553</v>
      </c>
      <c r="C94" s="81" t="s">
        <v>557</v>
      </c>
      <c r="D94" s="78" t="s">
        <v>562</v>
      </c>
      <c r="E94" s="85" t="str">
        <f>"14"</f>
        <v>14</v>
      </c>
      <c r="F94" s="93" t="s">
        <v>278</v>
      </c>
      <c r="G94" s="93" t="s">
        <v>279</v>
      </c>
      <c r="H94" s="73" t="s">
        <v>25</v>
      </c>
      <c r="I94" s="74" t="s">
        <v>280</v>
      </c>
      <c r="J94" s="96" t="str">
        <f>"328,02"</f>
        <v>328,02</v>
      </c>
      <c r="K94" s="80"/>
    </row>
    <row r="95" spans="1:11" s="2" customFormat="1" ht="12.75" x14ac:dyDescent="0.2">
      <c r="A95" s="76" t="s">
        <v>561</v>
      </c>
      <c r="B95" s="76" t="s">
        <v>553</v>
      </c>
      <c r="C95" s="81" t="s">
        <v>557</v>
      </c>
      <c r="D95" s="78" t="s">
        <v>562</v>
      </c>
      <c r="E95" s="85" t="str">
        <f>"15"</f>
        <v>15</v>
      </c>
      <c r="F95" s="93" t="s">
        <v>93</v>
      </c>
      <c r="G95" s="93" t="s">
        <v>94</v>
      </c>
      <c r="H95" s="73" t="s">
        <v>25</v>
      </c>
      <c r="I95" s="74" t="s">
        <v>95</v>
      </c>
      <c r="J95" s="96" t="str">
        <f>"327,02"</f>
        <v>327,02</v>
      </c>
      <c r="K95" s="80"/>
    </row>
    <row r="96" spans="1:11" s="2" customFormat="1" ht="12.75" x14ac:dyDescent="0.2">
      <c r="A96" s="76" t="s">
        <v>561</v>
      </c>
      <c r="B96" s="76" t="s">
        <v>553</v>
      </c>
      <c r="C96" s="81" t="s">
        <v>557</v>
      </c>
      <c r="D96" s="78" t="s">
        <v>562</v>
      </c>
      <c r="E96" s="85" t="str">
        <f>"16"</f>
        <v>16</v>
      </c>
      <c r="F96" s="93" t="s">
        <v>331</v>
      </c>
      <c r="G96" s="93" t="s">
        <v>332</v>
      </c>
      <c r="H96" s="73" t="s">
        <v>25</v>
      </c>
      <c r="I96" s="74" t="s">
        <v>61</v>
      </c>
      <c r="J96" s="96" t="str">
        <f>"327,02"</f>
        <v>327,02</v>
      </c>
      <c r="K96" s="80"/>
    </row>
    <row r="97" spans="1:11" s="2" customFormat="1" ht="12.75" x14ac:dyDescent="0.2">
      <c r="A97" s="76" t="s">
        <v>561</v>
      </c>
      <c r="B97" s="76" t="s">
        <v>553</v>
      </c>
      <c r="C97" s="81" t="s">
        <v>557</v>
      </c>
      <c r="D97" s="78" t="s">
        <v>562</v>
      </c>
      <c r="E97" s="85" t="str">
        <f>"17"</f>
        <v>17</v>
      </c>
      <c r="F97" s="93" t="s">
        <v>65</v>
      </c>
      <c r="G97" s="93" t="s">
        <v>66</v>
      </c>
      <c r="H97" s="73" t="s">
        <v>25</v>
      </c>
      <c r="I97" s="74" t="s">
        <v>67</v>
      </c>
      <c r="J97" s="96" t="str">
        <f>"326,02"</f>
        <v>326,02</v>
      </c>
      <c r="K97" s="80"/>
    </row>
    <row r="98" spans="1:11" s="2" customFormat="1" ht="12.75" x14ac:dyDescent="0.2">
      <c r="A98" s="76" t="s">
        <v>561</v>
      </c>
      <c r="B98" s="76" t="s">
        <v>553</v>
      </c>
      <c r="C98" s="81" t="s">
        <v>557</v>
      </c>
      <c r="D98" s="78" t="s">
        <v>562</v>
      </c>
      <c r="E98" s="85" t="str">
        <f>"18"</f>
        <v>18</v>
      </c>
      <c r="F98" s="93" t="s">
        <v>394</v>
      </c>
      <c r="G98" s="93" t="s">
        <v>395</v>
      </c>
      <c r="H98" s="73" t="s">
        <v>54</v>
      </c>
      <c r="I98" s="74" t="s">
        <v>396</v>
      </c>
      <c r="J98" s="96" t="str">
        <f>"325,02"</f>
        <v>325,02</v>
      </c>
      <c r="K98" s="80"/>
    </row>
    <row r="99" spans="1:11" s="2" customFormat="1" ht="12.75" x14ac:dyDescent="0.2">
      <c r="A99" s="76" t="s">
        <v>561</v>
      </c>
      <c r="B99" s="76" t="s">
        <v>553</v>
      </c>
      <c r="C99" s="81" t="s">
        <v>557</v>
      </c>
      <c r="D99" s="78" t="s">
        <v>562</v>
      </c>
      <c r="E99" s="85" t="str">
        <f>"19"</f>
        <v>19</v>
      </c>
      <c r="F99" s="93" t="s">
        <v>304</v>
      </c>
      <c r="G99" s="93" t="s">
        <v>305</v>
      </c>
      <c r="H99" s="73" t="s">
        <v>25</v>
      </c>
      <c r="I99" s="74" t="s">
        <v>306</v>
      </c>
      <c r="J99" s="96" t="str">
        <f>"324,02"</f>
        <v>324,02</v>
      </c>
      <c r="K99" s="80"/>
    </row>
    <row r="100" spans="1:11" s="2" customFormat="1" ht="12.75" x14ac:dyDescent="0.2">
      <c r="A100" s="76" t="s">
        <v>561</v>
      </c>
      <c r="B100" s="76" t="s">
        <v>553</v>
      </c>
      <c r="C100" s="81" t="s">
        <v>557</v>
      </c>
      <c r="D100" s="78" t="s">
        <v>562</v>
      </c>
      <c r="E100" s="85" t="str">
        <f>"20"</f>
        <v>20</v>
      </c>
      <c r="F100" s="93" t="s">
        <v>336</v>
      </c>
      <c r="G100" s="93" t="s">
        <v>337</v>
      </c>
      <c r="H100" s="73" t="s">
        <v>312</v>
      </c>
      <c r="I100" s="74" t="s">
        <v>338</v>
      </c>
      <c r="J100" s="96" t="str">
        <f>"324,02"</f>
        <v>324,02</v>
      </c>
      <c r="K100" s="80"/>
    </row>
    <row r="101" spans="1:11" s="2" customFormat="1" ht="12.75" x14ac:dyDescent="0.2">
      <c r="A101" s="76" t="s">
        <v>561</v>
      </c>
      <c r="B101" s="76" t="s">
        <v>553</v>
      </c>
      <c r="C101" s="81" t="s">
        <v>557</v>
      </c>
      <c r="D101" s="78" t="s">
        <v>562</v>
      </c>
      <c r="E101" s="85" t="str">
        <f>"21"</f>
        <v>21</v>
      </c>
      <c r="F101" s="93" t="s">
        <v>128</v>
      </c>
      <c r="G101" s="93" t="s">
        <v>129</v>
      </c>
      <c r="H101" s="73" t="s">
        <v>25</v>
      </c>
      <c r="I101" s="74" t="s">
        <v>130</v>
      </c>
      <c r="J101" s="96" t="str">
        <f>"322,02"</f>
        <v>322,02</v>
      </c>
      <c r="K101" s="80"/>
    </row>
    <row r="102" spans="1:11" s="2" customFormat="1" ht="12.75" x14ac:dyDescent="0.2">
      <c r="A102" s="76" t="s">
        <v>561</v>
      </c>
      <c r="B102" s="76" t="s">
        <v>553</v>
      </c>
      <c r="C102" s="81" t="s">
        <v>557</v>
      </c>
      <c r="D102" s="78" t="s">
        <v>562</v>
      </c>
      <c r="E102" s="85" t="str">
        <f>"22"</f>
        <v>22</v>
      </c>
      <c r="F102" s="93" t="s">
        <v>33</v>
      </c>
      <c r="G102" s="93" t="s">
        <v>34</v>
      </c>
      <c r="H102" s="73" t="s">
        <v>25</v>
      </c>
      <c r="I102" s="74" t="s">
        <v>35</v>
      </c>
      <c r="J102" s="96" t="str">
        <f t="shared" ref="J102:J115" si="0">"280,02"</f>
        <v>280,02</v>
      </c>
      <c r="K102" s="80"/>
    </row>
    <row r="103" spans="1:11" s="2" customFormat="1" ht="12.75" x14ac:dyDescent="0.2">
      <c r="A103" s="76" t="s">
        <v>561</v>
      </c>
      <c r="B103" s="76" t="s">
        <v>553</v>
      </c>
      <c r="C103" s="81" t="s">
        <v>557</v>
      </c>
      <c r="D103" s="78" t="s">
        <v>562</v>
      </c>
      <c r="E103" s="85" t="str">
        <f>"23"</f>
        <v>23</v>
      </c>
      <c r="F103" s="93" t="s">
        <v>71</v>
      </c>
      <c r="G103" s="93" t="s">
        <v>72</v>
      </c>
      <c r="H103" s="73" t="s">
        <v>25</v>
      </c>
      <c r="I103" s="74" t="s">
        <v>73</v>
      </c>
      <c r="J103" s="96" t="str">
        <f t="shared" si="0"/>
        <v>280,02</v>
      </c>
      <c r="K103" s="80"/>
    </row>
    <row r="104" spans="1:11" s="2" customFormat="1" ht="12.75" x14ac:dyDescent="0.2">
      <c r="A104" s="76" t="s">
        <v>561</v>
      </c>
      <c r="B104" s="76" t="s">
        <v>553</v>
      </c>
      <c r="C104" s="81" t="s">
        <v>557</v>
      </c>
      <c r="D104" s="78" t="s">
        <v>562</v>
      </c>
      <c r="E104" s="85" t="str">
        <f>"24"</f>
        <v>24</v>
      </c>
      <c r="F104" s="93" t="s">
        <v>111</v>
      </c>
      <c r="G104" s="93" t="s">
        <v>112</v>
      </c>
      <c r="H104" s="73" t="s">
        <v>25</v>
      </c>
      <c r="I104" s="74" t="s">
        <v>113</v>
      </c>
      <c r="J104" s="96" t="str">
        <f t="shared" si="0"/>
        <v>280,02</v>
      </c>
      <c r="K104" s="80"/>
    </row>
    <row r="105" spans="1:11" s="2" customFormat="1" ht="12.75" x14ac:dyDescent="0.2">
      <c r="A105" s="76" t="s">
        <v>561</v>
      </c>
      <c r="B105" s="76" t="s">
        <v>553</v>
      </c>
      <c r="C105" s="81" t="s">
        <v>557</v>
      </c>
      <c r="D105" s="78" t="s">
        <v>562</v>
      </c>
      <c r="E105" s="85" t="str">
        <f>"25"</f>
        <v>25</v>
      </c>
      <c r="F105" s="93" t="s">
        <v>200</v>
      </c>
      <c r="G105" s="93" t="s">
        <v>201</v>
      </c>
      <c r="H105" s="73" t="s">
        <v>25</v>
      </c>
      <c r="I105" s="74" t="s">
        <v>202</v>
      </c>
      <c r="J105" s="96" t="str">
        <f t="shared" si="0"/>
        <v>280,02</v>
      </c>
      <c r="K105" s="80"/>
    </row>
    <row r="106" spans="1:11" s="2" customFormat="1" ht="12.75" x14ac:dyDescent="0.2">
      <c r="A106" s="76" t="s">
        <v>561</v>
      </c>
      <c r="B106" s="76" t="s">
        <v>553</v>
      </c>
      <c r="C106" s="81" t="s">
        <v>557</v>
      </c>
      <c r="D106" s="78" t="s">
        <v>562</v>
      </c>
      <c r="E106" s="85" t="str">
        <f>"26"</f>
        <v>26</v>
      </c>
      <c r="F106" s="93" t="s">
        <v>211</v>
      </c>
      <c r="G106" s="93" t="s">
        <v>212</v>
      </c>
      <c r="H106" s="73" t="s">
        <v>21</v>
      </c>
      <c r="I106" s="74" t="s">
        <v>213</v>
      </c>
      <c r="J106" s="96" t="str">
        <f t="shared" si="0"/>
        <v>280,02</v>
      </c>
      <c r="K106" s="80"/>
    </row>
    <row r="107" spans="1:11" s="2" customFormat="1" ht="12.75" x14ac:dyDescent="0.2">
      <c r="A107" s="76" t="s">
        <v>561</v>
      </c>
      <c r="B107" s="76" t="s">
        <v>553</v>
      </c>
      <c r="C107" s="81" t="s">
        <v>557</v>
      </c>
      <c r="D107" s="78" t="s">
        <v>562</v>
      </c>
      <c r="E107" s="85" t="str">
        <f>"27"</f>
        <v>27</v>
      </c>
      <c r="F107" s="93" t="s">
        <v>217</v>
      </c>
      <c r="G107" s="93" t="s">
        <v>66</v>
      </c>
      <c r="H107" s="73" t="s">
        <v>25</v>
      </c>
      <c r="I107" s="74" t="s">
        <v>218</v>
      </c>
      <c r="J107" s="96" t="str">
        <f t="shared" si="0"/>
        <v>280,02</v>
      </c>
      <c r="K107" s="80"/>
    </row>
    <row r="108" spans="1:11" s="2" customFormat="1" ht="12.75" x14ac:dyDescent="0.2">
      <c r="A108" s="76" t="s">
        <v>561</v>
      </c>
      <c r="B108" s="76" t="s">
        <v>553</v>
      </c>
      <c r="C108" s="81" t="s">
        <v>557</v>
      </c>
      <c r="D108" s="78" t="s">
        <v>562</v>
      </c>
      <c r="E108" s="85" t="str">
        <f>"28"</f>
        <v>28</v>
      </c>
      <c r="F108" s="93" t="s">
        <v>222</v>
      </c>
      <c r="G108" s="93" t="s">
        <v>223</v>
      </c>
      <c r="H108" s="73" t="s">
        <v>21</v>
      </c>
      <c r="I108" s="74" t="s">
        <v>224</v>
      </c>
      <c r="J108" s="96" t="str">
        <f t="shared" si="0"/>
        <v>280,02</v>
      </c>
      <c r="K108" s="80"/>
    </row>
    <row r="109" spans="1:11" s="2" customFormat="1" ht="12.75" x14ac:dyDescent="0.2">
      <c r="A109" s="76" t="s">
        <v>561</v>
      </c>
      <c r="B109" s="76" t="s">
        <v>553</v>
      </c>
      <c r="C109" s="81" t="s">
        <v>557</v>
      </c>
      <c r="D109" s="78" t="s">
        <v>562</v>
      </c>
      <c r="E109" s="85" t="str">
        <f>"29"</f>
        <v>29</v>
      </c>
      <c r="F109" s="93" t="s">
        <v>262</v>
      </c>
      <c r="G109" s="93" t="s">
        <v>263</v>
      </c>
      <c r="H109" s="73" t="s">
        <v>25</v>
      </c>
      <c r="I109" s="74" t="s">
        <v>264</v>
      </c>
      <c r="J109" s="96" t="str">
        <f t="shared" si="0"/>
        <v>280,02</v>
      </c>
      <c r="K109" s="80"/>
    </row>
    <row r="110" spans="1:11" s="2" customFormat="1" ht="12.75" x14ac:dyDescent="0.2">
      <c r="A110" s="76" t="s">
        <v>561</v>
      </c>
      <c r="B110" s="76" t="s">
        <v>553</v>
      </c>
      <c r="C110" s="81" t="s">
        <v>557</v>
      </c>
      <c r="D110" s="78" t="s">
        <v>562</v>
      </c>
      <c r="E110" s="85" t="str">
        <f>"30"</f>
        <v>30</v>
      </c>
      <c r="F110" s="93" t="s">
        <v>317</v>
      </c>
      <c r="G110" s="93" t="s">
        <v>94</v>
      </c>
      <c r="H110" s="73" t="s">
        <v>54</v>
      </c>
      <c r="I110" s="74" t="s">
        <v>190</v>
      </c>
      <c r="J110" s="96" t="str">
        <f t="shared" si="0"/>
        <v>280,02</v>
      </c>
      <c r="K110" s="80"/>
    </row>
    <row r="111" spans="1:11" x14ac:dyDescent="0.2">
      <c r="A111" s="76" t="s">
        <v>561</v>
      </c>
      <c r="B111" s="76" t="s">
        <v>553</v>
      </c>
      <c r="C111" s="81" t="s">
        <v>557</v>
      </c>
      <c r="D111" s="78" t="s">
        <v>562</v>
      </c>
      <c r="E111" s="85" t="str">
        <f>"31"</f>
        <v>31</v>
      </c>
      <c r="F111" s="93" t="s">
        <v>321</v>
      </c>
      <c r="G111" s="93" t="s">
        <v>322</v>
      </c>
      <c r="H111" s="73" t="s">
        <v>21</v>
      </c>
      <c r="I111" s="74" t="s">
        <v>323</v>
      </c>
      <c r="J111" s="96" t="str">
        <f t="shared" si="0"/>
        <v>280,02</v>
      </c>
      <c r="K111" s="80"/>
    </row>
    <row r="112" spans="1:11" x14ac:dyDescent="0.2">
      <c r="A112" s="76" t="s">
        <v>561</v>
      </c>
      <c r="B112" s="76" t="s">
        <v>553</v>
      </c>
      <c r="C112" s="81" t="s">
        <v>557</v>
      </c>
      <c r="D112" s="78" t="s">
        <v>562</v>
      </c>
      <c r="E112" s="85" t="str">
        <f>"32"</f>
        <v>32</v>
      </c>
      <c r="F112" s="93" t="s">
        <v>365</v>
      </c>
      <c r="G112" s="93" t="s">
        <v>366</v>
      </c>
      <c r="H112" s="73" t="s">
        <v>25</v>
      </c>
      <c r="I112" s="74" t="s">
        <v>361</v>
      </c>
      <c r="J112" s="96" t="str">
        <f t="shared" si="0"/>
        <v>280,02</v>
      </c>
      <c r="K112" s="80"/>
    </row>
    <row r="113" spans="1:11" x14ac:dyDescent="0.2">
      <c r="A113" s="76" t="s">
        <v>561</v>
      </c>
      <c r="B113" s="76" t="s">
        <v>553</v>
      </c>
      <c r="C113" s="81" t="s">
        <v>557</v>
      </c>
      <c r="D113" s="78" t="s">
        <v>562</v>
      </c>
      <c r="E113" s="85" t="str">
        <f>"33"</f>
        <v>33</v>
      </c>
      <c r="F113" s="93" t="s">
        <v>380</v>
      </c>
      <c r="G113" s="93" t="s">
        <v>381</v>
      </c>
      <c r="H113" s="73" t="s">
        <v>21</v>
      </c>
      <c r="I113" s="74" t="s">
        <v>178</v>
      </c>
      <c r="J113" s="96" t="str">
        <f t="shared" si="0"/>
        <v>280,02</v>
      </c>
      <c r="K113" s="80"/>
    </row>
    <row r="114" spans="1:11" x14ac:dyDescent="0.2">
      <c r="A114" s="76" t="s">
        <v>561</v>
      </c>
      <c r="B114" s="76" t="s">
        <v>553</v>
      </c>
      <c r="C114" s="81" t="s">
        <v>557</v>
      </c>
      <c r="D114" s="78" t="s">
        <v>562</v>
      </c>
      <c r="E114" s="85" t="str">
        <f>"34"</f>
        <v>34</v>
      </c>
      <c r="F114" s="93" t="s">
        <v>400</v>
      </c>
      <c r="G114" s="93" t="s">
        <v>401</v>
      </c>
      <c r="H114" s="73" t="s">
        <v>25</v>
      </c>
      <c r="I114" s="74" t="s">
        <v>402</v>
      </c>
      <c r="J114" s="96" t="str">
        <f t="shared" si="0"/>
        <v>280,02</v>
      </c>
      <c r="K114" s="80"/>
    </row>
    <row r="115" spans="1:11" x14ac:dyDescent="0.2">
      <c r="A115" s="76" t="s">
        <v>561</v>
      </c>
      <c r="B115" s="76" t="s">
        <v>553</v>
      </c>
      <c r="C115" s="81" t="s">
        <v>557</v>
      </c>
      <c r="D115" s="78" t="s">
        <v>562</v>
      </c>
      <c r="E115" s="85" t="str">
        <f>"35"</f>
        <v>35</v>
      </c>
      <c r="F115" s="93" t="s">
        <v>406</v>
      </c>
      <c r="G115" s="93" t="s">
        <v>407</v>
      </c>
      <c r="H115" s="73" t="s">
        <v>25</v>
      </c>
      <c r="I115" s="74" t="s">
        <v>408</v>
      </c>
      <c r="J115" s="96" t="str">
        <f t="shared" si="0"/>
        <v>280,02</v>
      </c>
      <c r="K115" s="80"/>
    </row>
    <row r="116" spans="1:11" x14ac:dyDescent="0.2">
      <c r="A116" s="76" t="s">
        <v>561</v>
      </c>
      <c r="B116" s="76" t="s">
        <v>553</v>
      </c>
      <c r="C116" s="81" t="s">
        <v>557</v>
      </c>
      <c r="D116" s="78" t="s">
        <v>562</v>
      </c>
      <c r="E116" s="85" t="str">
        <f>"36"</f>
        <v>36</v>
      </c>
      <c r="F116" s="93" t="s">
        <v>182</v>
      </c>
      <c r="G116" s="93" t="s">
        <v>183</v>
      </c>
      <c r="H116" s="73" t="s">
        <v>25</v>
      </c>
      <c r="I116" s="74" t="s">
        <v>184</v>
      </c>
      <c r="J116" s="96" t="str">
        <f>"279,02"</f>
        <v>279,02</v>
      </c>
      <c r="K116" s="80"/>
    </row>
    <row r="117" spans="1:11" x14ac:dyDescent="0.2">
      <c r="A117" s="76" t="s">
        <v>561</v>
      </c>
      <c r="B117" s="76" t="s">
        <v>553</v>
      </c>
      <c r="C117" s="81" t="s">
        <v>557</v>
      </c>
      <c r="D117" s="78" t="s">
        <v>562</v>
      </c>
      <c r="E117" s="85" t="str">
        <f>"37"</f>
        <v>37</v>
      </c>
      <c r="F117" s="93" t="s">
        <v>354</v>
      </c>
      <c r="G117" s="93" t="s">
        <v>355</v>
      </c>
      <c r="H117" s="73" t="s">
        <v>25</v>
      </c>
      <c r="I117" s="74" t="s">
        <v>55</v>
      </c>
      <c r="J117" s="96" t="str">
        <f>"277,02"</f>
        <v>277,02</v>
      </c>
      <c r="K117" s="80"/>
    </row>
    <row r="118" spans="1:11" x14ac:dyDescent="0.2">
      <c r="A118" s="76" t="s">
        <v>561</v>
      </c>
      <c r="B118" s="76" t="s">
        <v>553</v>
      </c>
      <c r="C118" s="81" t="s">
        <v>557</v>
      </c>
      <c r="D118" s="78" t="s">
        <v>562</v>
      </c>
      <c r="E118" s="85" t="str">
        <f>"38"</f>
        <v>38</v>
      </c>
      <c r="F118" s="93" t="s">
        <v>83</v>
      </c>
      <c r="G118" s="93" t="s">
        <v>84</v>
      </c>
      <c r="H118" s="73" t="s">
        <v>21</v>
      </c>
      <c r="I118" s="74" t="s">
        <v>85</v>
      </c>
      <c r="J118" s="96" t="str">
        <f>"276,02"</f>
        <v>276,02</v>
      </c>
      <c r="K118" s="80"/>
    </row>
    <row r="119" spans="1:11" x14ac:dyDescent="0.2">
      <c r="A119" s="76" t="s">
        <v>561</v>
      </c>
      <c r="B119" s="76" t="s">
        <v>553</v>
      </c>
      <c r="C119" s="81" t="s">
        <v>557</v>
      </c>
      <c r="D119" s="78" t="s">
        <v>562</v>
      </c>
      <c r="E119" s="85" t="str">
        <f>"39"</f>
        <v>39</v>
      </c>
      <c r="F119" s="93" t="s">
        <v>146</v>
      </c>
      <c r="G119" s="93" t="s">
        <v>147</v>
      </c>
      <c r="H119" s="73" t="s">
        <v>25</v>
      </c>
      <c r="I119" s="74" t="s">
        <v>148</v>
      </c>
      <c r="J119" s="96" t="str">
        <f>"252,70"</f>
        <v>252,70</v>
      </c>
      <c r="K119" s="80"/>
    </row>
    <row r="120" spans="1:11" x14ac:dyDescent="0.2">
      <c r="A120" s="76" t="s">
        <v>561</v>
      </c>
      <c r="B120" s="76" t="s">
        <v>553</v>
      </c>
      <c r="C120" s="81" t="s">
        <v>557</v>
      </c>
      <c r="D120" s="78" t="s">
        <v>562</v>
      </c>
      <c r="E120" s="85" t="str">
        <f>"40"</f>
        <v>40</v>
      </c>
      <c r="F120" s="93" t="s">
        <v>370</v>
      </c>
      <c r="G120" s="93" t="s">
        <v>72</v>
      </c>
      <c r="H120" s="73" t="s">
        <v>17</v>
      </c>
      <c r="I120" s="74" t="s">
        <v>371</v>
      </c>
      <c r="J120" s="96" t="str">
        <f>"202,42"</f>
        <v>202,42</v>
      </c>
      <c r="K120" s="80"/>
    </row>
    <row r="121" spans="1:11" x14ac:dyDescent="0.2">
      <c r="A121" s="76" t="s">
        <v>561</v>
      </c>
      <c r="B121" s="76" t="s">
        <v>553</v>
      </c>
      <c r="C121" s="81" t="s">
        <v>557</v>
      </c>
      <c r="D121" s="78" t="s">
        <v>562</v>
      </c>
      <c r="E121" s="85" t="str">
        <f>"41"</f>
        <v>41</v>
      </c>
      <c r="F121" s="93" t="s">
        <v>105</v>
      </c>
      <c r="G121" s="93" t="s">
        <v>106</v>
      </c>
      <c r="H121" s="73" t="s">
        <v>25</v>
      </c>
      <c r="I121" s="74" t="s">
        <v>107</v>
      </c>
      <c r="J121" s="96" t="str">
        <f>"176,42"</f>
        <v>176,42</v>
      </c>
      <c r="K121" s="80"/>
    </row>
    <row r="122" spans="1:11" x14ac:dyDescent="0.2">
      <c r="A122" s="76" t="s">
        <v>561</v>
      </c>
      <c r="B122" s="76" t="s">
        <v>553</v>
      </c>
      <c r="C122" s="81" t="s">
        <v>557</v>
      </c>
      <c r="D122" s="78" t="s">
        <v>562</v>
      </c>
      <c r="E122" s="85" t="str">
        <f>"42"</f>
        <v>42</v>
      </c>
      <c r="F122" s="93" t="s">
        <v>299</v>
      </c>
      <c r="G122" s="93" t="s">
        <v>300</v>
      </c>
      <c r="H122" s="73" t="s">
        <v>9</v>
      </c>
      <c r="I122" s="74" t="s">
        <v>301</v>
      </c>
      <c r="J122" s="96" t="str">
        <f>"131,64"</f>
        <v>131,64</v>
      </c>
      <c r="K122" s="80"/>
    </row>
    <row r="123" spans="1:11" x14ac:dyDescent="0.2">
      <c r="A123" s="76" t="s">
        <v>561</v>
      </c>
      <c r="B123" s="76" t="s">
        <v>553</v>
      </c>
      <c r="C123" s="81" t="s">
        <v>557</v>
      </c>
      <c r="D123" s="78" t="s">
        <v>562</v>
      </c>
      <c r="E123" s="85" t="str">
        <f>"43"</f>
        <v>43</v>
      </c>
      <c r="F123" s="93" t="s">
        <v>238</v>
      </c>
      <c r="G123" s="93" t="s">
        <v>239</v>
      </c>
      <c r="H123" s="73" t="s">
        <v>17</v>
      </c>
      <c r="I123" s="74" t="s">
        <v>240</v>
      </c>
      <c r="J123" s="96" t="str">
        <f>"86,02"</f>
        <v>86,02</v>
      </c>
      <c r="K123" s="80"/>
    </row>
    <row r="124" spans="1:11" x14ac:dyDescent="0.2">
      <c r="A124" s="76" t="s">
        <v>561</v>
      </c>
      <c r="B124" s="76" t="s">
        <v>553</v>
      </c>
      <c r="C124" s="81" t="s">
        <v>557</v>
      </c>
      <c r="D124" s="78" t="s">
        <v>562</v>
      </c>
      <c r="E124" s="85" t="str">
        <f>"NC"</f>
        <v>NC</v>
      </c>
      <c r="F124" s="93" t="s">
        <v>117</v>
      </c>
      <c r="G124" s="93" t="s">
        <v>118</v>
      </c>
      <c r="H124" s="73" t="s">
        <v>17</v>
      </c>
      <c r="I124" s="74" t="s">
        <v>119</v>
      </c>
      <c r="J124" s="96" t="str">
        <f>"0,00"</f>
        <v>0,00</v>
      </c>
      <c r="K124" s="80"/>
    </row>
    <row r="125" spans="1:11" x14ac:dyDescent="0.2">
      <c r="A125" s="76" t="s">
        <v>561</v>
      </c>
      <c r="B125" s="76" t="s">
        <v>553</v>
      </c>
      <c r="C125" s="81" t="s">
        <v>557</v>
      </c>
      <c r="D125" s="78" t="s">
        <v>562</v>
      </c>
      <c r="E125" s="85" t="str">
        <f>"NC"</f>
        <v>NC</v>
      </c>
      <c r="F125" s="93" t="s">
        <v>46</v>
      </c>
      <c r="G125" s="93" t="s">
        <v>47</v>
      </c>
      <c r="H125" s="73" t="s">
        <v>25</v>
      </c>
      <c r="I125" s="74" t="s">
        <v>48</v>
      </c>
      <c r="J125" s="96" t="str">
        <f>"0,00"</f>
        <v>0,00</v>
      </c>
      <c r="K125" s="80"/>
    </row>
  </sheetData>
  <sortState xmlns:xlrd2="http://schemas.microsoft.com/office/spreadsheetml/2017/richdata2" ref="E120:J123">
    <sortCondition ref="E119:E123"/>
  </sortState>
  <mergeCells count="1">
    <mergeCell ref="A1:K1"/>
  </mergeCells>
  <phoneticPr fontId="0" type="noConversion"/>
  <pageMargins left="0.22" right="0.26" top="0.12" bottom="0.5" header="0.13" footer="0.4921259845"/>
  <pageSetup paperSize="9" scale="95" orientation="landscape" horizontalDpi="4294967295" verticalDpi="4294967295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J145"/>
  <sheetViews>
    <sheetView showGridLines="0" zoomScale="95" workbookViewId="0">
      <pane ySplit="3" topLeftCell="A4" activePane="bottomLeft" state="frozen"/>
      <selection activeCell="E4" sqref="E4:E110"/>
      <selection pane="bottomLeft" activeCell="I66" sqref="I66"/>
    </sheetView>
  </sheetViews>
  <sheetFormatPr baseColWidth="10" defaultColWidth="53.5703125" defaultRowHeight="12.75" x14ac:dyDescent="0.2"/>
  <cols>
    <col min="1" max="1" width="20.28515625" style="1" bestFit="1" customWidth="1"/>
    <col min="2" max="2" width="10.42578125" style="1" customWidth="1"/>
    <col min="3" max="3" width="12.28515625" style="1" customWidth="1"/>
    <col min="4" max="4" width="16.5703125" style="25" bestFit="1" customWidth="1"/>
    <col min="5" max="5" width="3.85546875" style="25" bestFit="1" customWidth="1"/>
    <col min="6" max="6" width="23.85546875" style="1" bestFit="1" customWidth="1"/>
    <col min="7" max="7" width="12.28515625" style="1" bestFit="1" customWidth="1"/>
    <col min="8" max="8" width="24.28515625" style="7" bestFit="1" customWidth="1"/>
    <col min="9" max="9" width="14.28515625" style="8" customWidth="1"/>
    <col min="10" max="10" width="8.85546875" style="119" bestFit="1" customWidth="1"/>
    <col min="11" max="16384" width="53.5703125" style="1"/>
  </cols>
  <sheetData>
    <row r="1" spans="1:10" ht="26.25" x14ac:dyDescent="0.2">
      <c r="A1" s="138" t="s">
        <v>551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x14ac:dyDescent="0.2">
      <c r="A2" s="2"/>
      <c r="B2" s="2"/>
      <c r="C2" s="2"/>
      <c r="D2" s="2"/>
      <c r="E2" s="115"/>
      <c r="F2" s="2"/>
      <c r="G2" s="2"/>
      <c r="H2" s="2"/>
      <c r="I2" s="2"/>
    </row>
    <row r="3" spans="1:10" x14ac:dyDescent="0.2">
      <c r="A3" s="3"/>
      <c r="B3" s="17"/>
      <c r="C3" s="17"/>
      <c r="D3" s="1"/>
      <c r="E3" s="116"/>
      <c r="F3" s="35">
        <v>45736</v>
      </c>
      <c r="G3" s="23"/>
      <c r="H3" s="24"/>
    </row>
    <row r="4" spans="1:10" s="2" customFormat="1" x14ac:dyDescent="0.2">
      <c r="A4" s="27" t="s">
        <v>561</v>
      </c>
      <c r="B4" s="27" t="s">
        <v>553</v>
      </c>
      <c r="C4" s="28" t="s">
        <v>554</v>
      </c>
      <c r="D4" s="22" t="s">
        <v>569</v>
      </c>
      <c r="E4" s="125">
        <v>1</v>
      </c>
      <c r="F4" s="112" t="s">
        <v>219</v>
      </c>
      <c r="G4" s="112" t="s">
        <v>220</v>
      </c>
      <c r="H4" s="107" t="s">
        <v>25</v>
      </c>
      <c r="I4" s="108" t="s">
        <v>221</v>
      </c>
      <c r="J4" s="121" t="s">
        <v>570</v>
      </c>
    </row>
    <row r="5" spans="1:10" s="2" customFormat="1" x14ac:dyDescent="0.2">
      <c r="A5" s="27" t="s">
        <v>561</v>
      </c>
      <c r="B5" s="27" t="s">
        <v>553</v>
      </c>
      <c r="C5" s="28" t="s">
        <v>554</v>
      </c>
      <c r="D5" s="22" t="s">
        <v>569</v>
      </c>
      <c r="E5" s="126">
        <v>2</v>
      </c>
      <c r="F5" s="113" t="s">
        <v>362</v>
      </c>
      <c r="G5" s="113" t="s">
        <v>363</v>
      </c>
      <c r="H5" s="110" t="s">
        <v>25</v>
      </c>
      <c r="I5" s="111" t="s">
        <v>364</v>
      </c>
      <c r="J5" s="122" t="s">
        <v>571</v>
      </c>
    </row>
    <row r="6" spans="1:10" x14ac:dyDescent="0.2">
      <c r="A6" s="27" t="s">
        <v>561</v>
      </c>
      <c r="B6" s="27" t="s">
        <v>553</v>
      </c>
      <c r="C6" s="28" t="s">
        <v>554</v>
      </c>
      <c r="D6" s="22" t="s">
        <v>569</v>
      </c>
      <c r="E6" s="126">
        <v>3</v>
      </c>
      <c r="F6" s="113" t="s">
        <v>288</v>
      </c>
      <c r="G6" s="113" t="s">
        <v>302</v>
      </c>
      <c r="H6" s="110" t="s">
        <v>9</v>
      </c>
      <c r="I6" s="111" t="s">
        <v>303</v>
      </c>
      <c r="J6" s="122" t="s">
        <v>572</v>
      </c>
    </row>
    <row r="7" spans="1:10" x14ac:dyDescent="0.2">
      <c r="A7" s="27" t="s">
        <v>561</v>
      </c>
      <c r="B7" s="27" t="s">
        <v>553</v>
      </c>
      <c r="C7" s="28" t="s">
        <v>554</v>
      </c>
      <c r="D7" s="22" t="s">
        <v>569</v>
      </c>
      <c r="E7" s="126">
        <v>4</v>
      </c>
      <c r="F7" s="113" t="s">
        <v>285</v>
      </c>
      <c r="G7" s="113" t="s">
        <v>286</v>
      </c>
      <c r="H7" s="110" t="s">
        <v>25</v>
      </c>
      <c r="I7" s="111" t="s">
        <v>287</v>
      </c>
      <c r="J7" s="122" t="s">
        <v>573</v>
      </c>
    </row>
    <row r="8" spans="1:10" x14ac:dyDescent="0.2">
      <c r="A8" s="27" t="s">
        <v>561</v>
      </c>
      <c r="B8" s="27" t="s">
        <v>553</v>
      </c>
      <c r="C8" s="28" t="s">
        <v>554</v>
      </c>
      <c r="D8" s="22" t="s">
        <v>569</v>
      </c>
      <c r="E8" s="126">
        <v>5</v>
      </c>
      <c r="F8" s="113" t="s">
        <v>403</v>
      </c>
      <c r="G8" s="113" t="s">
        <v>404</v>
      </c>
      <c r="H8" s="110" t="s">
        <v>9</v>
      </c>
      <c r="I8" s="111" t="s">
        <v>405</v>
      </c>
      <c r="J8" s="122" t="s">
        <v>574</v>
      </c>
    </row>
    <row r="9" spans="1:10" x14ac:dyDescent="0.2">
      <c r="A9" s="27" t="s">
        <v>561</v>
      </c>
      <c r="B9" s="27" t="s">
        <v>553</v>
      </c>
      <c r="C9" s="28" t="s">
        <v>554</v>
      </c>
      <c r="D9" s="22" t="s">
        <v>569</v>
      </c>
      <c r="E9" s="126">
        <v>6</v>
      </c>
      <c r="F9" s="113" t="s">
        <v>191</v>
      </c>
      <c r="G9" s="113" t="s">
        <v>192</v>
      </c>
      <c r="H9" s="110" t="s">
        <v>54</v>
      </c>
      <c r="I9" s="111" t="s">
        <v>193</v>
      </c>
      <c r="J9" s="122" t="s">
        <v>575</v>
      </c>
    </row>
    <row r="10" spans="1:10" x14ac:dyDescent="0.2">
      <c r="A10" s="27" t="s">
        <v>561</v>
      </c>
      <c r="B10" s="27" t="s">
        <v>553</v>
      </c>
      <c r="C10" s="28" t="s">
        <v>554</v>
      </c>
      <c r="D10" s="22" t="s">
        <v>569</v>
      </c>
      <c r="E10" s="126">
        <v>6</v>
      </c>
      <c r="F10" s="113" t="s">
        <v>214</v>
      </c>
      <c r="G10" s="113" t="s">
        <v>215</v>
      </c>
      <c r="H10" s="110" t="s">
        <v>25</v>
      </c>
      <c r="I10" s="111" t="s">
        <v>216</v>
      </c>
      <c r="J10" s="122" t="s">
        <v>575</v>
      </c>
    </row>
    <row r="11" spans="1:10" x14ac:dyDescent="0.2">
      <c r="A11" s="27" t="s">
        <v>561</v>
      </c>
      <c r="B11" s="27" t="s">
        <v>553</v>
      </c>
      <c r="C11" s="28" t="s">
        <v>554</v>
      </c>
      <c r="D11" s="22" t="s">
        <v>569</v>
      </c>
      <c r="E11" s="126">
        <v>8</v>
      </c>
      <c r="F11" s="113" t="s">
        <v>247</v>
      </c>
      <c r="G11" s="113" t="s">
        <v>248</v>
      </c>
      <c r="H11" s="110" t="s">
        <v>17</v>
      </c>
      <c r="I11" s="111" t="s">
        <v>249</v>
      </c>
      <c r="J11" s="122" t="s">
        <v>576</v>
      </c>
    </row>
    <row r="12" spans="1:10" x14ac:dyDescent="0.2">
      <c r="A12" s="27" t="s">
        <v>561</v>
      </c>
      <c r="B12" s="27" t="s">
        <v>553</v>
      </c>
      <c r="C12" s="28" t="s">
        <v>554</v>
      </c>
      <c r="D12" s="22" t="s">
        <v>569</v>
      </c>
      <c r="E12" s="126">
        <v>8</v>
      </c>
      <c r="F12" s="113" t="s">
        <v>59</v>
      </c>
      <c r="G12" s="113" t="s">
        <v>168</v>
      </c>
      <c r="H12" s="110" t="s">
        <v>25</v>
      </c>
      <c r="I12" s="111" t="s">
        <v>169</v>
      </c>
      <c r="J12" s="122" t="s">
        <v>576</v>
      </c>
    </row>
    <row r="13" spans="1:10" x14ac:dyDescent="0.2">
      <c r="A13" s="27" t="s">
        <v>561</v>
      </c>
      <c r="B13" s="27" t="s">
        <v>553</v>
      </c>
      <c r="C13" s="28" t="s">
        <v>554</v>
      </c>
      <c r="D13" s="22" t="s">
        <v>569</v>
      </c>
      <c r="E13" s="126">
        <v>8</v>
      </c>
      <c r="F13" s="113" t="s">
        <v>15</v>
      </c>
      <c r="G13" s="113" t="s">
        <v>16</v>
      </c>
      <c r="H13" s="110" t="s">
        <v>17</v>
      </c>
      <c r="I13" s="111" t="s">
        <v>18</v>
      </c>
      <c r="J13" s="122" t="s">
        <v>576</v>
      </c>
    </row>
    <row r="14" spans="1:10" x14ac:dyDescent="0.2">
      <c r="A14" s="27" t="s">
        <v>561</v>
      </c>
      <c r="B14" s="27" t="s">
        <v>553</v>
      </c>
      <c r="C14" s="28" t="s">
        <v>554</v>
      </c>
      <c r="D14" s="22" t="s">
        <v>569</v>
      </c>
      <c r="E14" s="126">
        <v>11</v>
      </c>
      <c r="F14" s="113" t="s">
        <v>466</v>
      </c>
      <c r="G14" s="113" t="s">
        <v>467</v>
      </c>
      <c r="H14" s="110" t="s">
        <v>25</v>
      </c>
      <c r="I14" s="111" t="s">
        <v>468</v>
      </c>
      <c r="J14" s="122" t="s">
        <v>577</v>
      </c>
    </row>
    <row r="15" spans="1:10" x14ac:dyDescent="0.2">
      <c r="A15" s="27" t="s">
        <v>561</v>
      </c>
      <c r="B15" s="27" t="s">
        <v>553</v>
      </c>
      <c r="C15" s="28" t="s">
        <v>554</v>
      </c>
      <c r="D15" s="22" t="s">
        <v>569</v>
      </c>
      <c r="E15" s="126">
        <v>12</v>
      </c>
      <c r="F15" s="113" t="s">
        <v>275</v>
      </c>
      <c r="G15" s="113" t="s">
        <v>276</v>
      </c>
      <c r="H15" s="110" t="s">
        <v>13</v>
      </c>
      <c r="I15" s="111" t="s">
        <v>277</v>
      </c>
      <c r="J15" s="122" t="s">
        <v>578</v>
      </c>
    </row>
    <row r="16" spans="1:10" x14ac:dyDescent="0.2">
      <c r="A16" s="27" t="s">
        <v>561</v>
      </c>
      <c r="B16" s="27" t="s">
        <v>553</v>
      </c>
      <c r="C16" s="28" t="s">
        <v>554</v>
      </c>
      <c r="D16" s="22" t="s">
        <v>569</v>
      </c>
      <c r="E16" s="126">
        <v>13</v>
      </c>
      <c r="F16" s="113" t="s">
        <v>108</v>
      </c>
      <c r="G16" s="113" t="s">
        <v>109</v>
      </c>
      <c r="H16" s="110" t="s">
        <v>25</v>
      </c>
      <c r="I16" s="111" t="s">
        <v>110</v>
      </c>
      <c r="J16" s="122" t="s">
        <v>579</v>
      </c>
    </row>
    <row r="17" spans="1:10" x14ac:dyDescent="0.2">
      <c r="A17" s="27" t="s">
        <v>561</v>
      </c>
      <c r="B17" s="27" t="s">
        <v>553</v>
      </c>
      <c r="C17" s="28" t="s">
        <v>554</v>
      </c>
      <c r="D17" s="22" t="s">
        <v>569</v>
      </c>
      <c r="E17" s="126">
        <v>13</v>
      </c>
      <c r="F17" s="113" t="s">
        <v>23</v>
      </c>
      <c r="G17" s="113" t="s">
        <v>24</v>
      </c>
      <c r="H17" s="110" t="s">
        <v>25</v>
      </c>
      <c r="I17" s="111" t="s">
        <v>26</v>
      </c>
      <c r="J17" s="122" t="s">
        <v>579</v>
      </c>
    </row>
    <row r="18" spans="1:10" x14ac:dyDescent="0.2">
      <c r="A18" s="27" t="s">
        <v>561</v>
      </c>
      <c r="B18" s="27" t="s">
        <v>553</v>
      </c>
      <c r="C18" s="28" t="s">
        <v>554</v>
      </c>
      <c r="D18" s="22" t="s">
        <v>569</v>
      </c>
      <c r="E18" s="126">
        <v>15</v>
      </c>
      <c r="F18" s="113" t="s">
        <v>488</v>
      </c>
      <c r="G18" s="113" t="s">
        <v>489</v>
      </c>
      <c r="H18" s="110" t="s">
        <v>41</v>
      </c>
      <c r="I18" s="111" t="s">
        <v>490</v>
      </c>
      <c r="J18" s="122" t="s">
        <v>580</v>
      </c>
    </row>
    <row r="19" spans="1:10" x14ac:dyDescent="0.2">
      <c r="A19" s="27" t="s">
        <v>561</v>
      </c>
      <c r="B19" s="27" t="s">
        <v>553</v>
      </c>
      <c r="C19" s="28" t="s">
        <v>554</v>
      </c>
      <c r="D19" s="22" t="s">
        <v>569</v>
      </c>
      <c r="E19" s="126">
        <v>16</v>
      </c>
      <c r="F19" s="113" t="s">
        <v>203</v>
      </c>
      <c r="G19" s="113" t="s">
        <v>204</v>
      </c>
      <c r="H19" s="110" t="s">
        <v>205</v>
      </c>
      <c r="I19" s="111" t="s">
        <v>206</v>
      </c>
      <c r="J19" s="122" t="s">
        <v>581</v>
      </c>
    </row>
    <row r="20" spans="1:10" x14ac:dyDescent="0.2">
      <c r="A20" s="27" t="s">
        <v>561</v>
      </c>
      <c r="B20" s="27" t="s">
        <v>553</v>
      </c>
      <c r="C20" s="28" t="s">
        <v>554</v>
      </c>
      <c r="D20" s="22" t="s">
        <v>569</v>
      </c>
      <c r="E20" s="126">
        <v>17</v>
      </c>
      <c r="F20" s="113" t="s">
        <v>314</v>
      </c>
      <c r="G20" s="113" t="s">
        <v>315</v>
      </c>
      <c r="H20" s="110" t="s">
        <v>25</v>
      </c>
      <c r="I20" s="111" t="s">
        <v>316</v>
      </c>
      <c r="J20" s="122" t="s">
        <v>582</v>
      </c>
    </row>
    <row r="21" spans="1:10" x14ac:dyDescent="0.2">
      <c r="A21" s="27" t="s">
        <v>561</v>
      </c>
      <c r="B21" s="27" t="s">
        <v>553</v>
      </c>
      <c r="C21" s="28" t="s">
        <v>554</v>
      </c>
      <c r="D21" s="22" t="s">
        <v>569</v>
      </c>
      <c r="E21" s="126">
        <v>18</v>
      </c>
      <c r="F21" s="113" t="s">
        <v>74</v>
      </c>
      <c r="G21" s="113" t="s">
        <v>75</v>
      </c>
      <c r="H21" s="110" t="s">
        <v>25</v>
      </c>
      <c r="I21" s="111" t="s">
        <v>76</v>
      </c>
      <c r="J21" s="122" t="s">
        <v>583</v>
      </c>
    </row>
    <row r="22" spans="1:10" x14ac:dyDescent="0.2">
      <c r="A22" s="27" t="s">
        <v>561</v>
      </c>
      <c r="B22" s="27" t="s">
        <v>553</v>
      </c>
      <c r="C22" s="28" t="s">
        <v>554</v>
      </c>
      <c r="D22" s="22" t="s">
        <v>569</v>
      </c>
      <c r="E22" s="126">
        <v>18</v>
      </c>
      <c r="F22" s="113" t="s">
        <v>143</v>
      </c>
      <c r="G22" s="113" t="s">
        <v>144</v>
      </c>
      <c r="H22" s="110" t="s">
        <v>25</v>
      </c>
      <c r="I22" s="111" t="s">
        <v>145</v>
      </c>
      <c r="J22" s="122" t="s">
        <v>583</v>
      </c>
    </row>
    <row r="23" spans="1:10" x14ac:dyDescent="0.2">
      <c r="A23" s="27" t="s">
        <v>561</v>
      </c>
      <c r="B23" s="27" t="s">
        <v>553</v>
      </c>
      <c r="C23" s="28" t="s">
        <v>554</v>
      </c>
      <c r="D23" s="22" t="s">
        <v>569</v>
      </c>
      <c r="E23" s="126">
        <v>18</v>
      </c>
      <c r="F23" s="113" t="s">
        <v>345</v>
      </c>
      <c r="G23" s="113" t="s">
        <v>346</v>
      </c>
      <c r="H23" s="110" t="s">
        <v>25</v>
      </c>
      <c r="I23" s="111" t="s">
        <v>347</v>
      </c>
      <c r="J23" s="122" t="s">
        <v>583</v>
      </c>
    </row>
    <row r="24" spans="1:10" x14ac:dyDescent="0.2">
      <c r="A24" s="27" t="s">
        <v>561</v>
      </c>
      <c r="B24" s="27" t="s">
        <v>553</v>
      </c>
      <c r="C24" s="28" t="s">
        <v>554</v>
      </c>
      <c r="D24" s="22" t="s">
        <v>569</v>
      </c>
      <c r="E24" s="126">
        <v>21</v>
      </c>
      <c r="F24" s="113" t="s">
        <v>56</v>
      </c>
      <c r="G24" s="113" t="s">
        <v>57</v>
      </c>
      <c r="H24" s="110" t="s">
        <v>25</v>
      </c>
      <c r="I24" s="111" t="s">
        <v>58</v>
      </c>
      <c r="J24" s="122" t="s">
        <v>584</v>
      </c>
    </row>
    <row r="25" spans="1:10" x14ac:dyDescent="0.2">
      <c r="A25" s="27" t="s">
        <v>561</v>
      </c>
      <c r="B25" s="27" t="s">
        <v>553</v>
      </c>
      <c r="C25" s="28" t="s">
        <v>554</v>
      </c>
      <c r="D25" s="22" t="s">
        <v>569</v>
      </c>
      <c r="E25" s="126">
        <v>22</v>
      </c>
      <c r="F25" s="113" t="s">
        <v>96</v>
      </c>
      <c r="G25" s="113" t="s">
        <v>97</v>
      </c>
      <c r="H25" s="110" t="s">
        <v>25</v>
      </c>
      <c r="I25" s="111" t="s">
        <v>98</v>
      </c>
      <c r="J25" s="122" t="s">
        <v>585</v>
      </c>
    </row>
    <row r="26" spans="1:10" x14ac:dyDescent="0.2">
      <c r="A26" s="27" t="s">
        <v>561</v>
      </c>
      <c r="B26" s="27" t="s">
        <v>553</v>
      </c>
      <c r="C26" s="28" t="s">
        <v>554</v>
      </c>
      <c r="D26" s="22" t="s">
        <v>569</v>
      </c>
      <c r="E26" s="126">
        <v>23</v>
      </c>
      <c r="F26" s="113" t="s">
        <v>241</v>
      </c>
      <c r="G26" s="113" t="s">
        <v>242</v>
      </c>
      <c r="H26" s="110" t="s">
        <v>13</v>
      </c>
      <c r="I26" s="111" t="s">
        <v>243</v>
      </c>
      <c r="J26" s="122" t="s">
        <v>586</v>
      </c>
    </row>
    <row r="27" spans="1:10" x14ac:dyDescent="0.2">
      <c r="A27" s="27" t="s">
        <v>561</v>
      </c>
      <c r="B27" s="27" t="s">
        <v>553</v>
      </c>
      <c r="C27" s="28" t="s">
        <v>554</v>
      </c>
      <c r="D27" s="22" t="s">
        <v>569</v>
      </c>
      <c r="E27" s="126">
        <v>23</v>
      </c>
      <c r="F27" s="113" t="s">
        <v>68</v>
      </c>
      <c r="G27" s="113" t="s">
        <v>69</v>
      </c>
      <c r="H27" s="110" t="s">
        <v>25</v>
      </c>
      <c r="I27" s="111" t="s">
        <v>70</v>
      </c>
      <c r="J27" s="122" t="s">
        <v>587</v>
      </c>
    </row>
    <row r="28" spans="1:10" x14ac:dyDescent="0.2">
      <c r="A28" s="27" t="s">
        <v>561</v>
      </c>
      <c r="B28" s="27" t="s">
        <v>553</v>
      </c>
      <c r="C28" s="28" t="s">
        <v>554</v>
      </c>
      <c r="D28" s="22" t="s">
        <v>569</v>
      </c>
      <c r="E28" s="126">
        <v>25</v>
      </c>
      <c r="F28" s="113" t="s">
        <v>514</v>
      </c>
      <c r="G28" s="113" t="s">
        <v>515</v>
      </c>
      <c r="H28" s="110" t="s">
        <v>25</v>
      </c>
      <c r="I28" s="111" t="s">
        <v>516</v>
      </c>
      <c r="J28" s="122" t="s">
        <v>583</v>
      </c>
    </row>
    <row r="29" spans="1:10" x14ac:dyDescent="0.2">
      <c r="A29" s="27" t="s">
        <v>561</v>
      </c>
      <c r="B29" s="27" t="s">
        <v>553</v>
      </c>
      <c r="C29" s="28" t="s">
        <v>554</v>
      </c>
      <c r="D29" s="22" t="s">
        <v>569</v>
      </c>
      <c r="E29" s="126">
        <v>26</v>
      </c>
      <c r="F29" s="113" t="s">
        <v>318</v>
      </c>
      <c r="G29" s="113" t="s">
        <v>319</v>
      </c>
      <c r="H29" s="110" t="s">
        <v>25</v>
      </c>
      <c r="I29" s="111" t="s">
        <v>320</v>
      </c>
      <c r="J29" s="122" t="s">
        <v>588</v>
      </c>
    </row>
    <row r="30" spans="1:10" x14ac:dyDescent="0.2">
      <c r="A30" s="27" t="s">
        <v>561</v>
      </c>
      <c r="B30" s="27" t="s">
        <v>553</v>
      </c>
      <c r="C30" s="28" t="s">
        <v>554</v>
      </c>
      <c r="D30" s="22" t="s">
        <v>569</v>
      </c>
      <c r="E30" s="126">
        <v>26</v>
      </c>
      <c r="F30" s="113" t="s">
        <v>434</v>
      </c>
      <c r="G30" s="113" t="s">
        <v>435</v>
      </c>
      <c r="H30" s="110" t="s">
        <v>54</v>
      </c>
      <c r="I30" s="111" t="s">
        <v>436</v>
      </c>
      <c r="J30" s="122" t="s">
        <v>588</v>
      </c>
    </row>
    <row r="31" spans="1:10" x14ac:dyDescent="0.2">
      <c r="A31" s="27" t="s">
        <v>561</v>
      </c>
      <c r="B31" s="27" t="s">
        <v>553</v>
      </c>
      <c r="C31" s="28" t="s">
        <v>554</v>
      </c>
      <c r="D31" s="22" t="s">
        <v>569</v>
      </c>
      <c r="E31" s="126">
        <v>28</v>
      </c>
      <c r="F31" s="113" t="s">
        <v>90</v>
      </c>
      <c r="G31" s="113" t="s">
        <v>91</v>
      </c>
      <c r="H31" s="110" t="s">
        <v>17</v>
      </c>
      <c r="I31" s="111" t="s">
        <v>92</v>
      </c>
      <c r="J31" s="122" t="s">
        <v>589</v>
      </c>
    </row>
    <row r="32" spans="1:10" x14ac:dyDescent="0.2">
      <c r="A32" s="27" t="s">
        <v>561</v>
      </c>
      <c r="B32" s="27" t="s">
        <v>553</v>
      </c>
      <c r="C32" s="28" t="s">
        <v>554</v>
      </c>
      <c r="D32" s="22" t="s">
        <v>569</v>
      </c>
      <c r="E32" s="126">
        <v>28</v>
      </c>
      <c r="F32" s="113" t="s">
        <v>417</v>
      </c>
      <c r="G32" s="113" t="s">
        <v>418</v>
      </c>
      <c r="H32" s="110" t="s">
        <v>54</v>
      </c>
      <c r="I32" s="111" t="s">
        <v>419</v>
      </c>
      <c r="J32" s="122" t="s">
        <v>589</v>
      </c>
    </row>
    <row r="33" spans="1:10" x14ac:dyDescent="0.2">
      <c r="A33" s="27" t="s">
        <v>561</v>
      </c>
      <c r="B33" s="27" t="s">
        <v>553</v>
      </c>
      <c r="C33" s="28" t="s">
        <v>554</v>
      </c>
      <c r="D33" s="22" t="s">
        <v>569</v>
      </c>
      <c r="E33" s="126">
        <v>30</v>
      </c>
      <c r="F33" s="113" t="s">
        <v>125</v>
      </c>
      <c r="G33" s="113" t="s">
        <v>126</v>
      </c>
      <c r="H33" s="110" t="s">
        <v>25</v>
      </c>
      <c r="I33" s="111" t="s">
        <v>127</v>
      </c>
      <c r="J33" s="122" t="s">
        <v>590</v>
      </c>
    </row>
    <row r="34" spans="1:10" x14ac:dyDescent="0.2">
      <c r="A34" s="27" t="s">
        <v>561</v>
      </c>
      <c r="B34" s="27" t="s">
        <v>553</v>
      </c>
      <c r="C34" s="28" t="s">
        <v>554</v>
      </c>
      <c r="D34" s="22" t="s">
        <v>569</v>
      </c>
      <c r="E34" s="126">
        <v>31</v>
      </c>
      <c r="F34" s="113" t="s">
        <v>173</v>
      </c>
      <c r="G34" s="113" t="s">
        <v>174</v>
      </c>
      <c r="H34" s="110" t="s">
        <v>25</v>
      </c>
      <c r="I34" s="111" t="s">
        <v>175</v>
      </c>
      <c r="J34" s="122" t="s">
        <v>591</v>
      </c>
    </row>
    <row r="35" spans="1:10" x14ac:dyDescent="0.2">
      <c r="A35" s="27" t="s">
        <v>561</v>
      </c>
      <c r="B35" s="27" t="s">
        <v>553</v>
      </c>
      <c r="C35" s="28" t="s">
        <v>554</v>
      </c>
      <c r="D35" s="22" t="s">
        <v>569</v>
      </c>
      <c r="E35" s="126">
        <v>32</v>
      </c>
      <c r="F35" s="113" t="s">
        <v>452</v>
      </c>
      <c r="G35" s="113" t="s">
        <v>453</v>
      </c>
      <c r="H35" s="110" t="s">
        <v>154</v>
      </c>
      <c r="I35" s="111" t="s">
        <v>454</v>
      </c>
      <c r="J35" s="122" t="s">
        <v>592</v>
      </c>
    </row>
    <row r="36" spans="1:10" x14ac:dyDescent="0.2">
      <c r="A36" s="27" t="s">
        <v>561</v>
      </c>
      <c r="B36" s="27" t="s">
        <v>553</v>
      </c>
      <c r="C36" s="28" t="s">
        <v>554</v>
      </c>
      <c r="D36" s="22" t="s">
        <v>569</v>
      </c>
      <c r="E36" s="126">
        <v>33</v>
      </c>
      <c r="F36" s="113" t="s">
        <v>377</v>
      </c>
      <c r="G36" s="113" t="s">
        <v>378</v>
      </c>
      <c r="H36" s="110" t="s">
        <v>21</v>
      </c>
      <c r="I36" s="111" t="s">
        <v>379</v>
      </c>
      <c r="J36" s="122" t="s">
        <v>593</v>
      </c>
    </row>
    <row r="37" spans="1:10" x14ac:dyDescent="0.2">
      <c r="A37" s="27" t="s">
        <v>561</v>
      </c>
      <c r="B37" s="27" t="s">
        <v>553</v>
      </c>
      <c r="C37" s="28" t="s">
        <v>554</v>
      </c>
      <c r="D37" s="22" t="s">
        <v>569</v>
      </c>
      <c r="E37" s="126">
        <v>34</v>
      </c>
      <c r="F37" s="113" t="s">
        <v>43</v>
      </c>
      <c r="G37" s="113" t="s">
        <v>44</v>
      </c>
      <c r="H37" s="110" t="s">
        <v>25</v>
      </c>
      <c r="I37" s="111" t="s">
        <v>45</v>
      </c>
      <c r="J37" s="122" t="s">
        <v>594</v>
      </c>
    </row>
    <row r="38" spans="1:10" x14ac:dyDescent="0.2">
      <c r="A38" s="27" t="s">
        <v>561</v>
      </c>
      <c r="B38" s="27" t="s">
        <v>553</v>
      </c>
      <c r="C38" s="28" t="s">
        <v>554</v>
      </c>
      <c r="D38" s="22" t="s">
        <v>569</v>
      </c>
      <c r="E38" s="126">
        <v>34</v>
      </c>
      <c r="F38" s="113" t="s">
        <v>291</v>
      </c>
      <c r="G38" s="113" t="s">
        <v>292</v>
      </c>
      <c r="H38" s="110" t="s">
        <v>25</v>
      </c>
      <c r="I38" s="111" t="s">
        <v>293</v>
      </c>
      <c r="J38" s="122" t="s">
        <v>595</v>
      </c>
    </row>
    <row r="39" spans="1:10" x14ac:dyDescent="0.2">
      <c r="A39" s="27" t="s">
        <v>561</v>
      </c>
      <c r="B39" s="27" t="s">
        <v>553</v>
      </c>
      <c r="C39" s="28" t="s">
        <v>554</v>
      </c>
      <c r="D39" s="22" t="s">
        <v>569</v>
      </c>
      <c r="E39" s="126">
        <v>36</v>
      </c>
      <c r="F39" s="113" t="s">
        <v>86</v>
      </c>
      <c r="G39" s="113" t="s">
        <v>87</v>
      </c>
      <c r="H39" s="110" t="s">
        <v>25</v>
      </c>
      <c r="I39" s="111" t="s">
        <v>88</v>
      </c>
      <c r="J39" s="122" t="s">
        <v>596</v>
      </c>
    </row>
    <row r="40" spans="1:10" x14ac:dyDescent="0.2">
      <c r="A40" s="27" t="s">
        <v>561</v>
      </c>
      <c r="B40" s="27" t="s">
        <v>553</v>
      </c>
      <c r="C40" s="28" t="s">
        <v>554</v>
      </c>
      <c r="D40" s="22" t="s">
        <v>569</v>
      </c>
      <c r="E40" s="126">
        <v>37</v>
      </c>
      <c r="F40" s="113" t="s">
        <v>179</v>
      </c>
      <c r="G40" s="113" t="s">
        <v>180</v>
      </c>
      <c r="H40" s="110" t="s">
        <v>25</v>
      </c>
      <c r="I40" s="111" t="s">
        <v>181</v>
      </c>
      <c r="J40" s="122" t="s">
        <v>597</v>
      </c>
    </row>
    <row r="41" spans="1:10" x14ac:dyDescent="0.2">
      <c r="A41" s="27" t="s">
        <v>561</v>
      </c>
      <c r="B41" s="27" t="s">
        <v>553</v>
      </c>
      <c r="C41" s="28" t="s">
        <v>554</v>
      </c>
      <c r="D41" s="22" t="s">
        <v>569</v>
      </c>
      <c r="E41" s="126">
        <v>38</v>
      </c>
      <c r="F41" s="113" t="s">
        <v>259</v>
      </c>
      <c r="G41" s="113" t="s">
        <v>260</v>
      </c>
      <c r="H41" s="110" t="s">
        <v>21</v>
      </c>
      <c r="I41" s="111" t="s">
        <v>261</v>
      </c>
      <c r="J41" s="122" t="s">
        <v>598</v>
      </c>
    </row>
    <row r="42" spans="1:10" x14ac:dyDescent="0.2">
      <c r="A42" s="27" t="s">
        <v>561</v>
      </c>
      <c r="B42" s="27" t="s">
        <v>553</v>
      </c>
      <c r="C42" s="28" t="s">
        <v>554</v>
      </c>
      <c r="D42" s="22" t="s">
        <v>569</v>
      </c>
      <c r="E42" s="126">
        <v>39</v>
      </c>
      <c r="F42" s="113" t="s">
        <v>296</v>
      </c>
      <c r="G42" s="113" t="s">
        <v>297</v>
      </c>
      <c r="H42" s="110" t="s">
        <v>17</v>
      </c>
      <c r="I42" s="111" t="s">
        <v>298</v>
      </c>
      <c r="J42" s="122" t="s">
        <v>599</v>
      </c>
    </row>
    <row r="43" spans="1:10" x14ac:dyDescent="0.2">
      <c r="A43" s="27" t="s">
        <v>561</v>
      </c>
      <c r="B43" s="27" t="s">
        <v>553</v>
      </c>
      <c r="C43" s="28" t="s">
        <v>554</v>
      </c>
      <c r="D43" s="22" t="s">
        <v>569</v>
      </c>
      <c r="E43" s="126">
        <v>40</v>
      </c>
      <c r="F43" s="113" t="s">
        <v>269</v>
      </c>
      <c r="G43" s="113" t="s">
        <v>270</v>
      </c>
      <c r="H43" s="110" t="s">
        <v>25</v>
      </c>
      <c r="I43" s="111" t="s">
        <v>271</v>
      </c>
      <c r="J43" s="122" t="s">
        <v>600</v>
      </c>
    </row>
    <row r="44" spans="1:10" x14ac:dyDescent="0.2">
      <c r="A44" s="27" t="s">
        <v>561</v>
      </c>
      <c r="B44" s="27" t="s">
        <v>553</v>
      </c>
      <c r="C44" s="28" t="s">
        <v>554</v>
      </c>
      <c r="D44" s="22" t="s">
        <v>569</v>
      </c>
      <c r="E44" s="126">
        <v>41</v>
      </c>
      <c r="F44" s="113" t="s">
        <v>80</v>
      </c>
      <c r="G44" s="113" t="s">
        <v>81</v>
      </c>
      <c r="H44" s="110" t="s">
        <v>25</v>
      </c>
      <c r="I44" s="111" t="s">
        <v>82</v>
      </c>
      <c r="J44" s="122" t="s">
        <v>601</v>
      </c>
    </row>
    <row r="45" spans="1:10" x14ac:dyDescent="0.2">
      <c r="A45" s="27" t="s">
        <v>561</v>
      </c>
      <c r="B45" s="27" t="s">
        <v>553</v>
      </c>
      <c r="C45" s="28" t="s">
        <v>554</v>
      </c>
      <c r="D45" s="22" t="s">
        <v>569</v>
      </c>
      <c r="E45" s="126">
        <v>41</v>
      </c>
      <c r="F45" s="113" t="s">
        <v>307</v>
      </c>
      <c r="G45" s="113" t="s">
        <v>308</v>
      </c>
      <c r="H45" s="110" t="s">
        <v>154</v>
      </c>
      <c r="I45" s="111" t="s">
        <v>309</v>
      </c>
      <c r="J45" s="122" t="s">
        <v>601</v>
      </c>
    </row>
    <row r="46" spans="1:10" x14ac:dyDescent="0.2">
      <c r="A46" s="27" t="s">
        <v>561</v>
      </c>
      <c r="B46" s="27" t="s">
        <v>553</v>
      </c>
      <c r="C46" s="28" t="s">
        <v>554</v>
      </c>
      <c r="D46" s="22" t="s">
        <v>569</v>
      </c>
      <c r="E46" s="126">
        <v>43</v>
      </c>
      <c r="F46" s="113" t="s">
        <v>149</v>
      </c>
      <c r="G46" s="113" t="s">
        <v>150</v>
      </c>
      <c r="H46" s="110" t="s">
        <v>25</v>
      </c>
      <c r="I46" s="111" t="s">
        <v>151</v>
      </c>
      <c r="J46" s="122" t="s">
        <v>602</v>
      </c>
    </row>
    <row r="47" spans="1:10" x14ac:dyDescent="0.2">
      <c r="A47" s="27" t="s">
        <v>561</v>
      </c>
      <c r="B47" s="27" t="s">
        <v>553</v>
      </c>
      <c r="C47" s="28" t="s">
        <v>554</v>
      </c>
      <c r="D47" s="22" t="s">
        <v>569</v>
      </c>
      <c r="E47" s="126">
        <v>44</v>
      </c>
      <c r="F47" s="113" t="s">
        <v>62</v>
      </c>
      <c r="G47" s="113" t="s">
        <v>63</v>
      </c>
      <c r="H47" s="110" t="s">
        <v>25</v>
      </c>
      <c r="I47" s="111" t="s">
        <v>64</v>
      </c>
      <c r="J47" s="122" t="s">
        <v>603</v>
      </c>
    </row>
    <row r="48" spans="1:10" x14ac:dyDescent="0.2">
      <c r="A48" s="27" t="s">
        <v>561</v>
      </c>
      <c r="B48" s="27" t="s">
        <v>553</v>
      </c>
      <c r="C48" s="28" t="s">
        <v>554</v>
      </c>
      <c r="D48" s="22" t="s">
        <v>569</v>
      </c>
      <c r="E48" s="126">
        <v>45</v>
      </c>
      <c r="F48" s="113" t="s">
        <v>137</v>
      </c>
      <c r="G48" s="113" t="s">
        <v>138</v>
      </c>
      <c r="H48" s="110" t="s">
        <v>17</v>
      </c>
      <c r="I48" s="111" t="s">
        <v>139</v>
      </c>
      <c r="J48" s="122" t="s">
        <v>604</v>
      </c>
    </row>
    <row r="49" spans="1:10" x14ac:dyDescent="0.2">
      <c r="A49" s="27" t="s">
        <v>561</v>
      </c>
      <c r="B49" s="27" t="s">
        <v>553</v>
      </c>
      <c r="C49" s="28" t="s">
        <v>554</v>
      </c>
      <c r="D49" s="22" t="s">
        <v>569</v>
      </c>
      <c r="E49" s="126">
        <v>46</v>
      </c>
      <c r="F49" s="113" t="s">
        <v>185</v>
      </c>
      <c r="G49" s="113" t="s">
        <v>186</v>
      </c>
      <c r="H49" s="110" t="s">
        <v>54</v>
      </c>
      <c r="I49" s="111" t="s">
        <v>187</v>
      </c>
      <c r="J49" s="122" t="s">
        <v>605</v>
      </c>
    </row>
    <row r="50" spans="1:10" x14ac:dyDescent="0.2">
      <c r="A50" s="27" t="s">
        <v>561</v>
      </c>
      <c r="B50" s="27" t="s">
        <v>553</v>
      </c>
      <c r="C50" s="28" t="s">
        <v>554</v>
      </c>
      <c r="D50" s="22" t="s">
        <v>569</v>
      </c>
      <c r="E50" s="126">
        <v>47</v>
      </c>
      <c r="F50" s="113" t="s">
        <v>409</v>
      </c>
      <c r="G50" s="113" t="s">
        <v>410</v>
      </c>
      <c r="H50" s="110" t="s">
        <v>54</v>
      </c>
      <c r="I50" s="111" t="s">
        <v>564</v>
      </c>
      <c r="J50" s="122" t="s">
        <v>606</v>
      </c>
    </row>
    <row r="51" spans="1:10" x14ac:dyDescent="0.2">
      <c r="A51" s="27" t="s">
        <v>561</v>
      </c>
      <c r="B51" s="27" t="s">
        <v>553</v>
      </c>
      <c r="C51" s="28" t="s">
        <v>554</v>
      </c>
      <c r="D51" s="22" t="s">
        <v>569</v>
      </c>
      <c r="E51" s="126">
        <v>48</v>
      </c>
      <c r="F51" s="113" t="s">
        <v>339</v>
      </c>
      <c r="G51" s="113" t="s">
        <v>340</v>
      </c>
      <c r="H51" s="110" t="s">
        <v>54</v>
      </c>
      <c r="I51" s="111" t="s">
        <v>341</v>
      </c>
      <c r="J51" s="122" t="s">
        <v>607</v>
      </c>
    </row>
    <row r="52" spans="1:10" x14ac:dyDescent="0.2">
      <c r="A52" s="27" t="s">
        <v>561</v>
      </c>
      <c r="B52" s="27" t="s">
        <v>553</v>
      </c>
      <c r="C52" s="28" t="s">
        <v>554</v>
      </c>
      <c r="D52" s="22" t="s">
        <v>569</v>
      </c>
      <c r="E52" s="126">
        <v>48</v>
      </c>
      <c r="F52" s="113" t="s">
        <v>397</v>
      </c>
      <c r="G52" s="113" t="s">
        <v>398</v>
      </c>
      <c r="H52" s="110" t="s">
        <v>54</v>
      </c>
      <c r="I52" s="111" t="s">
        <v>399</v>
      </c>
      <c r="J52" s="122" t="s">
        <v>608</v>
      </c>
    </row>
    <row r="53" spans="1:10" x14ac:dyDescent="0.2">
      <c r="A53" s="27" t="s">
        <v>561</v>
      </c>
      <c r="B53" s="27" t="s">
        <v>553</v>
      </c>
      <c r="C53" s="28" t="s">
        <v>554</v>
      </c>
      <c r="D53" s="22" t="s">
        <v>569</v>
      </c>
      <c r="E53" s="126">
        <v>50</v>
      </c>
      <c r="F53" s="113" t="s">
        <v>367</v>
      </c>
      <c r="G53" s="113" t="s">
        <v>368</v>
      </c>
      <c r="H53" s="110" t="s">
        <v>9</v>
      </c>
      <c r="I53" s="111" t="s">
        <v>369</v>
      </c>
      <c r="J53" s="122" t="s">
        <v>609</v>
      </c>
    </row>
    <row r="54" spans="1:10" x14ac:dyDescent="0.2">
      <c r="A54" s="27" t="s">
        <v>561</v>
      </c>
      <c r="B54" s="27" t="s">
        <v>553</v>
      </c>
      <c r="C54" s="28" t="s">
        <v>554</v>
      </c>
      <c r="D54" s="22" t="s">
        <v>569</v>
      </c>
      <c r="E54" s="126">
        <v>51</v>
      </c>
      <c r="F54" s="113" t="s">
        <v>30</v>
      </c>
      <c r="G54" s="113" t="s">
        <v>31</v>
      </c>
      <c r="H54" s="110" t="s">
        <v>17</v>
      </c>
      <c r="I54" s="111" t="s">
        <v>32</v>
      </c>
      <c r="J54" s="122" t="s">
        <v>610</v>
      </c>
    </row>
    <row r="55" spans="1:10" x14ac:dyDescent="0.2">
      <c r="A55" s="27" t="s">
        <v>561</v>
      </c>
      <c r="B55" s="27" t="s">
        <v>553</v>
      </c>
      <c r="C55" s="28" t="s">
        <v>554</v>
      </c>
      <c r="D55" s="22" t="s">
        <v>569</v>
      </c>
      <c r="E55" s="126">
        <v>52</v>
      </c>
      <c r="F55" s="113" t="s">
        <v>162</v>
      </c>
      <c r="G55" s="113" t="s">
        <v>163</v>
      </c>
      <c r="H55" s="110" t="s">
        <v>9</v>
      </c>
      <c r="I55" s="111" t="s">
        <v>164</v>
      </c>
      <c r="J55" s="122" t="s">
        <v>611</v>
      </c>
    </row>
    <row r="56" spans="1:10" x14ac:dyDescent="0.2">
      <c r="A56" s="27" t="s">
        <v>561</v>
      </c>
      <c r="B56" s="27" t="s">
        <v>553</v>
      </c>
      <c r="C56" s="28" t="s">
        <v>554</v>
      </c>
      <c r="D56" s="22" t="s">
        <v>569</v>
      </c>
      <c r="E56" s="126">
        <v>53</v>
      </c>
      <c r="F56" s="113" t="s">
        <v>36</v>
      </c>
      <c r="G56" s="113" t="s">
        <v>37</v>
      </c>
      <c r="H56" s="110" t="s">
        <v>17</v>
      </c>
      <c r="I56" s="111" t="s">
        <v>38</v>
      </c>
      <c r="J56" s="122" t="s">
        <v>612</v>
      </c>
    </row>
    <row r="57" spans="1:10" x14ac:dyDescent="0.2">
      <c r="A57" s="27" t="s">
        <v>561</v>
      </c>
      <c r="B57" s="27" t="s">
        <v>553</v>
      </c>
      <c r="C57" s="28" t="s">
        <v>554</v>
      </c>
      <c r="D57" s="22" t="s">
        <v>569</v>
      </c>
      <c r="E57" s="126">
        <v>53</v>
      </c>
      <c r="F57" s="113" t="s">
        <v>114</v>
      </c>
      <c r="G57" s="113" t="s">
        <v>115</v>
      </c>
      <c r="H57" s="110" t="s">
        <v>17</v>
      </c>
      <c r="I57" s="111" t="s">
        <v>116</v>
      </c>
      <c r="J57" s="122" t="s">
        <v>613</v>
      </c>
    </row>
    <row r="58" spans="1:10" x14ac:dyDescent="0.2">
      <c r="A58" s="27" t="s">
        <v>561</v>
      </c>
      <c r="B58" s="27" t="s">
        <v>553</v>
      </c>
      <c r="C58" s="28" t="s">
        <v>554</v>
      </c>
      <c r="D58" s="22" t="s">
        <v>569</v>
      </c>
      <c r="E58" s="126">
        <v>55</v>
      </c>
      <c r="F58" s="113" t="s">
        <v>382</v>
      </c>
      <c r="G58" s="113" t="s">
        <v>383</v>
      </c>
      <c r="H58" s="110" t="s">
        <v>9</v>
      </c>
      <c r="I58" s="111" t="s">
        <v>384</v>
      </c>
      <c r="J58" s="122" t="s">
        <v>614</v>
      </c>
    </row>
    <row r="59" spans="1:10" x14ac:dyDescent="0.2">
      <c r="A59" s="27" t="s">
        <v>561</v>
      </c>
      <c r="B59" s="27" t="s">
        <v>553</v>
      </c>
      <c r="C59" s="28" t="s">
        <v>554</v>
      </c>
      <c r="D59" s="22" t="s">
        <v>569</v>
      </c>
      <c r="E59" s="126">
        <v>56</v>
      </c>
      <c r="F59" s="113" t="s">
        <v>49</v>
      </c>
      <c r="G59" s="113" t="s">
        <v>50</v>
      </c>
      <c r="H59" s="110" t="s">
        <v>17</v>
      </c>
      <c r="I59" s="111" t="s">
        <v>51</v>
      </c>
      <c r="J59" s="122" t="s">
        <v>615</v>
      </c>
    </row>
    <row r="60" spans="1:10" x14ac:dyDescent="0.2">
      <c r="A60" s="27" t="s">
        <v>561</v>
      </c>
      <c r="B60" s="27" t="s">
        <v>553</v>
      </c>
      <c r="C60" s="28" t="s">
        <v>554</v>
      </c>
      <c r="D60" s="22" t="s">
        <v>569</v>
      </c>
      <c r="E60" s="126">
        <v>56</v>
      </c>
      <c r="F60" s="113" t="s">
        <v>411</v>
      </c>
      <c r="G60" s="113" t="s">
        <v>412</v>
      </c>
      <c r="H60" s="110" t="s">
        <v>54</v>
      </c>
      <c r="I60" s="111" t="s">
        <v>413</v>
      </c>
      <c r="J60" s="122" t="s">
        <v>615</v>
      </c>
    </row>
    <row r="61" spans="1:10" x14ac:dyDescent="0.2">
      <c r="A61" s="27" t="s">
        <v>561</v>
      </c>
      <c r="B61" s="27" t="s">
        <v>553</v>
      </c>
      <c r="C61" s="28" t="s">
        <v>554</v>
      </c>
      <c r="D61" s="22" t="s">
        <v>569</v>
      </c>
      <c r="E61" s="126">
        <v>56</v>
      </c>
      <c r="F61" s="113" t="s">
        <v>372</v>
      </c>
      <c r="G61" s="113" t="s">
        <v>373</v>
      </c>
      <c r="H61" s="110" t="s">
        <v>9</v>
      </c>
      <c r="I61" s="111" t="s">
        <v>374</v>
      </c>
      <c r="J61" s="122" t="s">
        <v>615</v>
      </c>
    </row>
    <row r="62" spans="1:10" x14ac:dyDescent="0.2">
      <c r="A62" s="27" t="s">
        <v>561</v>
      </c>
      <c r="B62" s="27" t="s">
        <v>553</v>
      </c>
      <c r="C62" s="28" t="s">
        <v>554</v>
      </c>
      <c r="D62" s="22" t="s">
        <v>569</v>
      </c>
      <c r="E62" s="126">
        <v>59</v>
      </c>
      <c r="F62" s="113" t="s">
        <v>225</v>
      </c>
      <c r="G62" s="113" t="s">
        <v>226</v>
      </c>
      <c r="H62" s="110" t="s">
        <v>54</v>
      </c>
      <c r="I62" s="111" t="s">
        <v>227</v>
      </c>
      <c r="J62" s="122" t="s">
        <v>616</v>
      </c>
    </row>
    <row r="63" spans="1:10" x14ac:dyDescent="0.2">
      <c r="A63" s="27" t="s">
        <v>561</v>
      </c>
      <c r="B63" s="27" t="s">
        <v>553</v>
      </c>
      <c r="C63" s="28" t="s">
        <v>554</v>
      </c>
      <c r="D63" s="22" t="s">
        <v>569</v>
      </c>
      <c r="E63" s="126">
        <v>60</v>
      </c>
      <c r="F63" s="113" t="s">
        <v>102</v>
      </c>
      <c r="G63" s="113" t="s">
        <v>103</v>
      </c>
      <c r="H63" s="110" t="s">
        <v>13</v>
      </c>
      <c r="I63" s="111" t="s">
        <v>104</v>
      </c>
      <c r="J63" s="122" t="s">
        <v>616</v>
      </c>
    </row>
    <row r="64" spans="1:10" x14ac:dyDescent="0.2">
      <c r="A64" s="27" t="s">
        <v>561</v>
      </c>
      <c r="B64" s="27" t="s">
        <v>553</v>
      </c>
      <c r="C64" s="28" t="s">
        <v>554</v>
      </c>
      <c r="D64" s="22" t="s">
        <v>569</v>
      </c>
      <c r="E64" s="126">
        <v>60</v>
      </c>
      <c r="F64" s="113" t="s">
        <v>499</v>
      </c>
      <c r="G64" s="113" t="s">
        <v>500</v>
      </c>
      <c r="H64" s="110" t="s">
        <v>54</v>
      </c>
      <c r="I64" s="111" t="s">
        <v>501</v>
      </c>
      <c r="J64" s="122" t="s">
        <v>617</v>
      </c>
    </row>
    <row r="65" spans="1:10" x14ac:dyDescent="0.2">
      <c r="A65" s="27" t="s">
        <v>561</v>
      </c>
      <c r="B65" s="27" t="s">
        <v>553</v>
      </c>
      <c r="C65" s="28" t="s">
        <v>554</v>
      </c>
      <c r="D65" s="22" t="s">
        <v>569</v>
      </c>
      <c r="E65" s="126">
        <v>62</v>
      </c>
      <c r="F65" s="113" t="s">
        <v>120</v>
      </c>
      <c r="G65" s="113" t="s">
        <v>121</v>
      </c>
      <c r="H65" s="110" t="s">
        <v>17</v>
      </c>
      <c r="I65" s="111" t="s">
        <v>122</v>
      </c>
      <c r="J65" s="122" t="s">
        <v>618</v>
      </c>
    </row>
    <row r="66" spans="1:10" x14ac:dyDescent="0.2">
      <c r="A66" s="27" t="s">
        <v>561</v>
      </c>
      <c r="B66" s="27" t="s">
        <v>553</v>
      </c>
      <c r="C66" s="28" t="s">
        <v>554</v>
      </c>
      <c r="D66" s="22" t="s">
        <v>569</v>
      </c>
      <c r="E66" s="126">
        <v>62</v>
      </c>
      <c r="F66" s="113" t="s">
        <v>486</v>
      </c>
      <c r="G66" s="113" t="s">
        <v>482</v>
      </c>
      <c r="H66" s="110" t="s">
        <v>9</v>
      </c>
      <c r="I66" s="111" t="s">
        <v>487</v>
      </c>
      <c r="J66" s="122" t="s">
        <v>616</v>
      </c>
    </row>
    <row r="67" spans="1:10" x14ac:dyDescent="0.2">
      <c r="A67" s="27" t="s">
        <v>561</v>
      </c>
      <c r="B67" s="27" t="s">
        <v>553</v>
      </c>
      <c r="C67" s="28" t="s">
        <v>554</v>
      </c>
      <c r="D67" s="22" t="s">
        <v>569</v>
      </c>
      <c r="E67" s="126">
        <v>64</v>
      </c>
      <c r="F67" s="113" t="s">
        <v>236</v>
      </c>
      <c r="G67" s="113" t="s">
        <v>180</v>
      </c>
      <c r="H67" s="110" t="s">
        <v>54</v>
      </c>
      <c r="I67" s="111" t="s">
        <v>237</v>
      </c>
      <c r="J67" s="122" t="s">
        <v>619</v>
      </c>
    </row>
    <row r="68" spans="1:10" x14ac:dyDescent="0.2">
      <c r="A68" s="27" t="s">
        <v>561</v>
      </c>
      <c r="B68" s="27" t="s">
        <v>553</v>
      </c>
      <c r="C68" s="28" t="s">
        <v>554</v>
      </c>
      <c r="D68" s="22" t="s">
        <v>569</v>
      </c>
      <c r="E68" s="126">
        <v>65</v>
      </c>
      <c r="F68" s="113" t="s">
        <v>281</v>
      </c>
      <c r="G68" s="113" t="s">
        <v>282</v>
      </c>
      <c r="H68" s="110" t="s">
        <v>9</v>
      </c>
      <c r="I68" s="111" t="s">
        <v>283</v>
      </c>
      <c r="J68" s="122" t="s">
        <v>620</v>
      </c>
    </row>
    <row r="69" spans="1:10" x14ac:dyDescent="0.2">
      <c r="A69" s="27" t="s">
        <v>561</v>
      </c>
      <c r="B69" s="27" t="s">
        <v>553</v>
      </c>
      <c r="C69" s="28" t="s">
        <v>554</v>
      </c>
      <c r="D69" s="22" t="s">
        <v>569</v>
      </c>
      <c r="E69" s="126">
        <v>66</v>
      </c>
      <c r="F69" s="113" t="s">
        <v>131</v>
      </c>
      <c r="G69" s="113" t="s">
        <v>132</v>
      </c>
      <c r="H69" s="110" t="s">
        <v>17</v>
      </c>
      <c r="I69" s="111" t="s">
        <v>133</v>
      </c>
      <c r="J69" s="122" t="s">
        <v>621</v>
      </c>
    </row>
    <row r="70" spans="1:10" x14ac:dyDescent="0.2">
      <c r="A70" s="27" t="s">
        <v>561</v>
      </c>
      <c r="B70" s="27" t="s">
        <v>553</v>
      </c>
      <c r="C70" s="28" t="s">
        <v>554</v>
      </c>
      <c r="D70" s="22" t="s">
        <v>569</v>
      </c>
      <c r="E70" s="126">
        <v>67</v>
      </c>
      <c r="F70" s="113" t="s">
        <v>455</v>
      </c>
      <c r="G70" s="113" t="s">
        <v>456</v>
      </c>
      <c r="H70" s="110" t="s">
        <v>54</v>
      </c>
      <c r="I70" s="111" t="s">
        <v>457</v>
      </c>
      <c r="J70" s="122" t="s">
        <v>622</v>
      </c>
    </row>
    <row r="71" spans="1:10" x14ac:dyDescent="0.2">
      <c r="A71" s="27" t="s">
        <v>561</v>
      </c>
      <c r="B71" s="27" t="s">
        <v>553</v>
      </c>
      <c r="C71" s="28" t="s">
        <v>554</v>
      </c>
      <c r="D71" s="22" t="s">
        <v>569</v>
      </c>
      <c r="E71" s="126">
        <v>67</v>
      </c>
      <c r="F71" s="113" t="s">
        <v>502</v>
      </c>
      <c r="G71" s="113" t="s">
        <v>157</v>
      </c>
      <c r="H71" s="110" t="s">
        <v>54</v>
      </c>
      <c r="I71" s="111" t="s">
        <v>503</v>
      </c>
      <c r="J71" s="122" t="s">
        <v>622</v>
      </c>
    </row>
    <row r="72" spans="1:10" x14ac:dyDescent="0.2">
      <c r="A72" s="27" t="s">
        <v>561</v>
      </c>
      <c r="B72" s="27" t="s">
        <v>553</v>
      </c>
      <c r="C72" s="28" t="s">
        <v>554</v>
      </c>
      <c r="D72" s="22" t="s">
        <v>569</v>
      </c>
      <c r="E72" s="126">
        <v>67</v>
      </c>
      <c r="F72" s="113" t="s">
        <v>446</v>
      </c>
      <c r="G72" s="113" t="s">
        <v>447</v>
      </c>
      <c r="H72" s="110" t="s">
        <v>54</v>
      </c>
      <c r="I72" s="111" t="s">
        <v>448</v>
      </c>
      <c r="J72" s="122" t="s">
        <v>622</v>
      </c>
    </row>
    <row r="73" spans="1:10" x14ac:dyDescent="0.2">
      <c r="A73" s="27" t="s">
        <v>561</v>
      </c>
      <c r="B73" s="27" t="s">
        <v>553</v>
      </c>
      <c r="C73" s="28" t="s">
        <v>554</v>
      </c>
      <c r="D73" s="22" t="s">
        <v>569</v>
      </c>
      <c r="E73" s="126">
        <v>70</v>
      </c>
      <c r="F73" s="113" t="s">
        <v>443</v>
      </c>
      <c r="G73" s="113" t="s">
        <v>444</v>
      </c>
      <c r="H73" s="110" t="s">
        <v>54</v>
      </c>
      <c r="I73" s="111" t="s">
        <v>445</v>
      </c>
      <c r="J73" s="122" t="s">
        <v>623</v>
      </c>
    </row>
    <row r="74" spans="1:10" x14ac:dyDescent="0.2">
      <c r="A74" s="27" t="s">
        <v>561</v>
      </c>
      <c r="B74" s="27" t="s">
        <v>553</v>
      </c>
      <c r="C74" s="28" t="s">
        <v>554</v>
      </c>
      <c r="D74" s="22" t="s">
        <v>569</v>
      </c>
      <c r="E74" s="126">
        <v>71</v>
      </c>
      <c r="F74" s="113" t="s">
        <v>351</v>
      </c>
      <c r="G74" s="113" t="s">
        <v>352</v>
      </c>
      <c r="H74" s="110" t="s">
        <v>9</v>
      </c>
      <c r="I74" s="111" t="s">
        <v>353</v>
      </c>
      <c r="J74" s="122" t="s">
        <v>624</v>
      </c>
    </row>
    <row r="75" spans="1:10" x14ac:dyDescent="0.2">
      <c r="A75" s="27" t="s">
        <v>561</v>
      </c>
      <c r="B75" s="27" t="s">
        <v>553</v>
      </c>
      <c r="C75" s="28" t="s">
        <v>554</v>
      </c>
      <c r="D75" s="22" t="s">
        <v>569</v>
      </c>
      <c r="E75" s="126">
        <v>72</v>
      </c>
      <c r="F75" s="113" t="s">
        <v>472</v>
      </c>
      <c r="G75" s="113" t="s">
        <v>282</v>
      </c>
      <c r="H75" s="110" t="s">
        <v>54</v>
      </c>
      <c r="I75" s="111" t="s">
        <v>473</v>
      </c>
      <c r="J75" s="122" t="s">
        <v>625</v>
      </c>
    </row>
    <row r="76" spans="1:10" x14ac:dyDescent="0.2">
      <c r="A76" s="27" t="s">
        <v>561</v>
      </c>
      <c r="B76" s="27" t="s">
        <v>553</v>
      </c>
      <c r="C76" s="28" t="s">
        <v>554</v>
      </c>
      <c r="D76" s="22" t="s">
        <v>569</v>
      </c>
      <c r="E76" s="126">
        <v>73</v>
      </c>
      <c r="F76" s="113" t="s">
        <v>474</v>
      </c>
      <c r="G76" s="113" t="s">
        <v>441</v>
      </c>
      <c r="H76" s="110" t="s">
        <v>54</v>
      </c>
      <c r="I76" s="111" t="s">
        <v>475</v>
      </c>
      <c r="J76" s="122" t="s">
        <v>626</v>
      </c>
    </row>
    <row r="77" spans="1:10" x14ac:dyDescent="0.2">
      <c r="A77" s="27" t="s">
        <v>561</v>
      </c>
      <c r="B77" s="27" t="s">
        <v>553</v>
      </c>
      <c r="C77" s="28" t="s">
        <v>554</v>
      </c>
      <c r="D77" s="22" t="s">
        <v>569</v>
      </c>
      <c r="E77" s="126">
        <v>74</v>
      </c>
      <c r="F77" s="113" t="s">
        <v>156</v>
      </c>
      <c r="G77" s="113" t="s">
        <v>157</v>
      </c>
      <c r="H77" s="110" t="s">
        <v>17</v>
      </c>
      <c r="I77" s="111" t="s">
        <v>158</v>
      </c>
      <c r="J77" s="122" t="s">
        <v>627</v>
      </c>
    </row>
    <row r="78" spans="1:10" x14ac:dyDescent="0.2">
      <c r="A78" s="27" t="s">
        <v>561</v>
      </c>
      <c r="B78" s="27" t="s">
        <v>553</v>
      </c>
      <c r="C78" s="28" t="s">
        <v>554</v>
      </c>
      <c r="D78" s="22" t="s">
        <v>569</v>
      </c>
      <c r="E78" s="126" t="s">
        <v>568</v>
      </c>
      <c r="F78" s="113" t="s">
        <v>7</v>
      </c>
      <c r="G78" s="113" t="s">
        <v>8</v>
      </c>
      <c r="H78" s="110" t="s">
        <v>9</v>
      </c>
      <c r="I78" s="111" t="s">
        <v>10</v>
      </c>
      <c r="J78" s="122">
        <v>0</v>
      </c>
    </row>
    <row r="79" spans="1:10" x14ac:dyDescent="0.2">
      <c r="A79" s="27" t="s">
        <v>561</v>
      </c>
      <c r="B79" s="27" t="s">
        <v>553</v>
      </c>
      <c r="C79" s="28" t="s">
        <v>554</v>
      </c>
      <c r="D79" s="22" t="s">
        <v>569</v>
      </c>
      <c r="E79" s="126" t="s">
        <v>568</v>
      </c>
      <c r="F79" s="113" t="s">
        <v>461</v>
      </c>
      <c r="G79" s="113" t="s">
        <v>346</v>
      </c>
      <c r="H79" s="110" t="s">
        <v>54</v>
      </c>
      <c r="I79" s="111" t="s">
        <v>462</v>
      </c>
      <c r="J79" s="122">
        <v>0</v>
      </c>
    </row>
    <row r="80" spans="1:10" x14ac:dyDescent="0.2">
      <c r="A80" s="27" t="s">
        <v>561</v>
      </c>
      <c r="B80" s="27" t="s">
        <v>553</v>
      </c>
      <c r="C80" s="28" t="s">
        <v>554</v>
      </c>
      <c r="D80" s="22" t="s">
        <v>569</v>
      </c>
      <c r="E80" s="126" t="s">
        <v>568</v>
      </c>
      <c r="F80" s="113" t="s">
        <v>253</v>
      </c>
      <c r="G80" s="113" t="s">
        <v>254</v>
      </c>
      <c r="H80" s="110" t="s">
        <v>17</v>
      </c>
      <c r="I80" s="111" t="s">
        <v>255</v>
      </c>
      <c r="J80" s="122">
        <v>0</v>
      </c>
    </row>
    <row r="81" spans="1:10" x14ac:dyDescent="0.2">
      <c r="A81" s="27" t="s">
        <v>561</v>
      </c>
      <c r="B81" s="27" t="s">
        <v>553</v>
      </c>
      <c r="C81" s="28" t="s">
        <v>554</v>
      </c>
      <c r="D81" s="22" t="s">
        <v>569</v>
      </c>
      <c r="E81" s="126" t="s">
        <v>568</v>
      </c>
      <c r="F81" s="113" t="s">
        <v>356</v>
      </c>
      <c r="G81" s="113" t="s">
        <v>357</v>
      </c>
      <c r="H81" s="110" t="s">
        <v>21</v>
      </c>
      <c r="I81" s="111" t="s">
        <v>358</v>
      </c>
      <c r="J81" s="122">
        <v>0</v>
      </c>
    </row>
    <row r="82" spans="1:10" ht="25.5" x14ac:dyDescent="0.2">
      <c r="A82" s="27" t="s">
        <v>561</v>
      </c>
      <c r="B82" s="27" t="s">
        <v>553</v>
      </c>
      <c r="C82" s="28" t="s">
        <v>554</v>
      </c>
      <c r="D82" s="22" t="s">
        <v>569</v>
      </c>
      <c r="E82" s="126" t="s">
        <v>628</v>
      </c>
      <c r="F82" s="113" t="s">
        <v>506</v>
      </c>
      <c r="G82" s="113" t="s">
        <v>220</v>
      </c>
      <c r="H82" s="110" t="s">
        <v>507</v>
      </c>
      <c r="I82" s="111" t="s">
        <v>508</v>
      </c>
      <c r="J82" s="122" t="s">
        <v>629</v>
      </c>
    </row>
    <row r="83" spans="1:10" ht="25.5" x14ac:dyDescent="0.2">
      <c r="A83" s="27" t="s">
        <v>561</v>
      </c>
      <c r="B83" s="27" t="s">
        <v>553</v>
      </c>
      <c r="C83" s="28" t="s">
        <v>554</v>
      </c>
      <c r="D83" s="22" t="s">
        <v>569</v>
      </c>
      <c r="E83" s="126" t="s">
        <v>628</v>
      </c>
      <c r="F83" s="113" t="s">
        <v>426</v>
      </c>
      <c r="G83" s="113" t="s">
        <v>427</v>
      </c>
      <c r="H83" s="110" t="s">
        <v>54</v>
      </c>
      <c r="I83" s="111" t="s">
        <v>428</v>
      </c>
      <c r="J83" s="122" t="s">
        <v>629</v>
      </c>
    </row>
    <row r="84" spans="1:10" ht="25.5" x14ac:dyDescent="0.2">
      <c r="A84" s="27" t="s">
        <v>561</v>
      </c>
      <c r="B84" s="27" t="s">
        <v>553</v>
      </c>
      <c r="C84" s="28" t="s">
        <v>554</v>
      </c>
      <c r="D84" s="22" t="s">
        <v>569</v>
      </c>
      <c r="E84" s="126" t="s">
        <v>628</v>
      </c>
      <c r="F84" s="113" t="s">
        <v>469</v>
      </c>
      <c r="G84" s="113" t="s">
        <v>470</v>
      </c>
      <c r="H84" s="110" t="s">
        <v>54</v>
      </c>
      <c r="I84" s="111" t="s">
        <v>471</v>
      </c>
      <c r="J84" s="122" t="s">
        <v>629</v>
      </c>
    </row>
    <row r="85" spans="1:10" ht="25.5" x14ac:dyDescent="0.2">
      <c r="A85" s="27" t="s">
        <v>561</v>
      </c>
      <c r="B85" s="27" t="s">
        <v>553</v>
      </c>
      <c r="C85" s="28" t="s">
        <v>554</v>
      </c>
      <c r="D85" s="22" t="s">
        <v>569</v>
      </c>
      <c r="E85" s="126" t="s">
        <v>628</v>
      </c>
      <c r="F85" s="113" t="s">
        <v>324</v>
      </c>
      <c r="G85" s="113" t="s">
        <v>325</v>
      </c>
      <c r="H85" s="110" t="s">
        <v>13</v>
      </c>
      <c r="I85" s="111" t="s">
        <v>326</v>
      </c>
      <c r="J85" s="122" t="s">
        <v>629</v>
      </c>
    </row>
    <row r="86" spans="1:10" ht="25.5" x14ac:dyDescent="0.2">
      <c r="A86" s="27" t="s">
        <v>561</v>
      </c>
      <c r="B86" s="27" t="s">
        <v>553</v>
      </c>
      <c r="C86" s="28" t="s">
        <v>554</v>
      </c>
      <c r="D86" s="22" t="s">
        <v>569</v>
      </c>
      <c r="E86" s="126" t="s">
        <v>628</v>
      </c>
      <c r="F86" s="113" t="s">
        <v>512</v>
      </c>
      <c r="G86" s="113" t="s">
        <v>87</v>
      </c>
      <c r="H86" s="110" t="s">
        <v>507</v>
      </c>
      <c r="I86" s="111" t="s">
        <v>513</v>
      </c>
      <c r="J86" s="122" t="s">
        <v>629</v>
      </c>
    </row>
    <row r="87" spans="1:10" ht="25.5" x14ac:dyDescent="0.2">
      <c r="A87" s="27" t="s">
        <v>561</v>
      </c>
      <c r="B87" s="27" t="s">
        <v>553</v>
      </c>
      <c r="C87" s="28" t="s">
        <v>554</v>
      </c>
      <c r="D87" s="22" t="s">
        <v>569</v>
      </c>
      <c r="E87" s="126" t="s">
        <v>628</v>
      </c>
      <c r="F87" s="113" t="s">
        <v>630</v>
      </c>
      <c r="G87" s="113" t="s">
        <v>631</v>
      </c>
      <c r="H87" s="110" t="s">
        <v>21</v>
      </c>
      <c r="I87" s="111" t="s">
        <v>632</v>
      </c>
      <c r="J87" s="122" t="s">
        <v>629</v>
      </c>
    </row>
    <row r="88" spans="1:10" ht="25.5" x14ac:dyDescent="0.2">
      <c r="A88" s="27" t="s">
        <v>561</v>
      </c>
      <c r="B88" s="27" t="s">
        <v>553</v>
      </c>
      <c r="C88" s="28" t="s">
        <v>554</v>
      </c>
      <c r="D88" s="22" t="s">
        <v>569</v>
      </c>
      <c r="E88" s="126" t="s">
        <v>628</v>
      </c>
      <c r="F88" s="113" t="s">
        <v>463</v>
      </c>
      <c r="G88" s="113" t="s">
        <v>464</v>
      </c>
      <c r="H88" s="110" t="s">
        <v>154</v>
      </c>
      <c r="I88" s="111" t="s">
        <v>465</v>
      </c>
      <c r="J88" s="122" t="s">
        <v>629</v>
      </c>
    </row>
    <row r="89" spans="1:10" ht="25.5" x14ac:dyDescent="0.2">
      <c r="A89" s="27" t="s">
        <v>561</v>
      </c>
      <c r="B89" s="27" t="s">
        <v>553</v>
      </c>
      <c r="C89" s="28" t="s">
        <v>554</v>
      </c>
      <c r="D89" s="22" t="s">
        <v>569</v>
      </c>
      <c r="E89" s="126" t="s">
        <v>628</v>
      </c>
      <c r="F89" s="113" t="s">
        <v>440</v>
      </c>
      <c r="G89" s="113" t="s">
        <v>441</v>
      </c>
      <c r="H89" s="110" t="s">
        <v>154</v>
      </c>
      <c r="I89" s="111" t="s">
        <v>442</v>
      </c>
      <c r="J89" s="122" t="s">
        <v>629</v>
      </c>
    </row>
    <row r="90" spans="1:10" x14ac:dyDescent="0.2">
      <c r="A90" s="27" t="s">
        <v>561</v>
      </c>
      <c r="B90" s="27" t="s">
        <v>553</v>
      </c>
      <c r="C90" s="29" t="s">
        <v>557</v>
      </c>
      <c r="D90" s="22" t="s">
        <v>569</v>
      </c>
      <c r="E90" s="117">
        <v>1</v>
      </c>
      <c r="F90" s="106" t="s">
        <v>105</v>
      </c>
      <c r="G90" s="106" t="s">
        <v>106</v>
      </c>
      <c r="H90" s="107" t="s">
        <v>25</v>
      </c>
      <c r="I90" s="108" t="s">
        <v>107</v>
      </c>
      <c r="J90" s="123" t="s">
        <v>633</v>
      </c>
    </row>
    <row r="91" spans="1:10" x14ac:dyDescent="0.2">
      <c r="A91" s="27" t="s">
        <v>561</v>
      </c>
      <c r="B91" s="27" t="s">
        <v>553</v>
      </c>
      <c r="C91" s="29" t="s">
        <v>557</v>
      </c>
      <c r="D91" s="22" t="s">
        <v>569</v>
      </c>
      <c r="E91" s="118">
        <v>2</v>
      </c>
      <c r="F91" s="109" t="s">
        <v>288</v>
      </c>
      <c r="G91" s="109" t="s">
        <v>289</v>
      </c>
      <c r="H91" s="110" t="s">
        <v>41</v>
      </c>
      <c r="I91" s="111" t="s">
        <v>290</v>
      </c>
      <c r="J91" s="124" t="s">
        <v>634</v>
      </c>
    </row>
    <row r="92" spans="1:10" x14ac:dyDescent="0.2">
      <c r="A92" s="27" t="s">
        <v>561</v>
      </c>
      <c r="B92" s="27" t="s">
        <v>553</v>
      </c>
      <c r="C92" s="29" t="s">
        <v>557</v>
      </c>
      <c r="D92" s="22" t="s">
        <v>569</v>
      </c>
      <c r="E92" s="118">
        <v>3</v>
      </c>
      <c r="F92" s="109" t="s">
        <v>39</v>
      </c>
      <c r="G92" s="109" t="s">
        <v>40</v>
      </c>
      <c r="H92" s="110" t="s">
        <v>41</v>
      </c>
      <c r="I92" s="111" t="s">
        <v>42</v>
      </c>
      <c r="J92" s="124" t="s">
        <v>635</v>
      </c>
    </row>
    <row r="93" spans="1:10" x14ac:dyDescent="0.2">
      <c r="A93" s="27" t="s">
        <v>561</v>
      </c>
      <c r="B93" s="27" t="s">
        <v>553</v>
      </c>
      <c r="C93" s="29" t="s">
        <v>557</v>
      </c>
      <c r="D93" s="22" t="s">
        <v>569</v>
      </c>
      <c r="E93" s="118">
        <v>4</v>
      </c>
      <c r="F93" s="109" t="s">
        <v>165</v>
      </c>
      <c r="G93" s="109" t="s">
        <v>166</v>
      </c>
      <c r="H93" s="110" t="s">
        <v>17</v>
      </c>
      <c r="I93" s="111" t="s">
        <v>167</v>
      </c>
      <c r="J93" s="124" t="s">
        <v>636</v>
      </c>
    </row>
    <row r="94" spans="1:10" x14ac:dyDescent="0.2">
      <c r="A94" s="27" t="s">
        <v>561</v>
      </c>
      <c r="B94" s="27" t="s">
        <v>553</v>
      </c>
      <c r="C94" s="29" t="s">
        <v>557</v>
      </c>
      <c r="D94" s="22" t="s">
        <v>569</v>
      </c>
      <c r="E94" s="118">
        <v>5</v>
      </c>
      <c r="F94" s="109" t="s">
        <v>228</v>
      </c>
      <c r="G94" s="109" t="s">
        <v>229</v>
      </c>
      <c r="H94" s="110" t="s">
        <v>54</v>
      </c>
      <c r="I94" s="111" t="s">
        <v>230</v>
      </c>
      <c r="J94" s="124" t="s">
        <v>637</v>
      </c>
    </row>
    <row r="95" spans="1:10" x14ac:dyDescent="0.2">
      <c r="A95" s="27" t="s">
        <v>561</v>
      </c>
      <c r="B95" s="27" t="s">
        <v>553</v>
      </c>
      <c r="C95" s="29" t="s">
        <v>557</v>
      </c>
      <c r="D95" s="22" t="s">
        <v>569</v>
      </c>
      <c r="E95" s="118">
        <v>6</v>
      </c>
      <c r="F95" s="109" t="s">
        <v>46</v>
      </c>
      <c r="G95" s="109" t="s">
        <v>47</v>
      </c>
      <c r="H95" s="110" t="s">
        <v>25</v>
      </c>
      <c r="I95" s="111" t="s">
        <v>48</v>
      </c>
      <c r="J95" s="124" t="s">
        <v>638</v>
      </c>
    </row>
    <row r="96" spans="1:10" x14ac:dyDescent="0.2">
      <c r="A96" s="27" t="s">
        <v>561</v>
      </c>
      <c r="B96" s="27" t="s">
        <v>553</v>
      </c>
      <c r="C96" s="29" t="s">
        <v>557</v>
      </c>
      <c r="D96" s="22" t="s">
        <v>569</v>
      </c>
      <c r="E96" s="118">
        <v>7</v>
      </c>
      <c r="F96" s="109" t="s">
        <v>342</v>
      </c>
      <c r="G96" s="109" t="s">
        <v>343</v>
      </c>
      <c r="H96" s="110" t="s">
        <v>54</v>
      </c>
      <c r="I96" s="111" t="s">
        <v>344</v>
      </c>
      <c r="J96" s="124" t="s">
        <v>639</v>
      </c>
    </row>
    <row r="97" spans="1:10" x14ac:dyDescent="0.2">
      <c r="A97" s="27" t="s">
        <v>561</v>
      </c>
      <c r="B97" s="27" t="s">
        <v>553</v>
      </c>
      <c r="C97" s="29" t="s">
        <v>557</v>
      </c>
      <c r="D97" s="22" t="s">
        <v>569</v>
      </c>
      <c r="E97" s="118">
        <v>7</v>
      </c>
      <c r="F97" s="109" t="s">
        <v>123</v>
      </c>
      <c r="G97" s="109" t="s">
        <v>118</v>
      </c>
      <c r="H97" s="110" t="s">
        <v>25</v>
      </c>
      <c r="I97" s="111" t="s">
        <v>124</v>
      </c>
      <c r="J97" s="124" t="s">
        <v>639</v>
      </c>
    </row>
    <row r="98" spans="1:10" x14ac:dyDescent="0.2">
      <c r="A98" s="27" t="s">
        <v>561</v>
      </c>
      <c r="B98" s="27" t="s">
        <v>553</v>
      </c>
      <c r="C98" s="29" t="s">
        <v>557</v>
      </c>
      <c r="D98" s="22" t="s">
        <v>569</v>
      </c>
      <c r="E98" s="118">
        <v>9</v>
      </c>
      <c r="F98" s="109" t="s">
        <v>65</v>
      </c>
      <c r="G98" s="109" t="s">
        <v>66</v>
      </c>
      <c r="H98" s="110" t="s">
        <v>25</v>
      </c>
      <c r="I98" s="111" t="s">
        <v>67</v>
      </c>
      <c r="J98" s="124" t="s">
        <v>640</v>
      </c>
    </row>
    <row r="99" spans="1:10" x14ac:dyDescent="0.2">
      <c r="A99" s="27" t="s">
        <v>561</v>
      </c>
      <c r="B99" s="27" t="s">
        <v>553</v>
      </c>
      <c r="C99" s="29" t="s">
        <v>557</v>
      </c>
      <c r="D99" s="22" t="s">
        <v>569</v>
      </c>
      <c r="E99" s="118">
        <v>10</v>
      </c>
      <c r="F99" s="109" t="s">
        <v>394</v>
      </c>
      <c r="G99" s="109" t="s">
        <v>395</v>
      </c>
      <c r="H99" s="110" t="s">
        <v>54</v>
      </c>
      <c r="I99" s="111" t="s">
        <v>396</v>
      </c>
      <c r="J99" s="124" t="s">
        <v>641</v>
      </c>
    </row>
    <row r="100" spans="1:10" x14ac:dyDescent="0.2">
      <c r="A100" s="27" t="s">
        <v>561</v>
      </c>
      <c r="B100" s="27" t="s">
        <v>553</v>
      </c>
      <c r="C100" s="29" t="s">
        <v>557</v>
      </c>
      <c r="D100" s="22" t="s">
        <v>569</v>
      </c>
      <c r="E100" s="118">
        <v>11</v>
      </c>
      <c r="F100" s="109" t="s">
        <v>234</v>
      </c>
      <c r="G100" s="109" t="s">
        <v>208</v>
      </c>
      <c r="H100" s="110" t="s">
        <v>25</v>
      </c>
      <c r="I100" s="111" t="s">
        <v>235</v>
      </c>
      <c r="J100" s="124" t="s">
        <v>642</v>
      </c>
    </row>
    <row r="101" spans="1:10" x14ac:dyDescent="0.2">
      <c r="A101" s="27" t="s">
        <v>561</v>
      </c>
      <c r="B101" s="27" t="s">
        <v>553</v>
      </c>
      <c r="C101" s="29" t="s">
        <v>557</v>
      </c>
      <c r="D101" s="22" t="s">
        <v>569</v>
      </c>
      <c r="E101" s="118">
        <v>12</v>
      </c>
      <c r="F101" s="109" t="s">
        <v>200</v>
      </c>
      <c r="G101" s="109" t="s">
        <v>201</v>
      </c>
      <c r="H101" s="110" t="s">
        <v>25</v>
      </c>
      <c r="I101" s="111" t="s">
        <v>202</v>
      </c>
      <c r="J101" s="124" t="s">
        <v>643</v>
      </c>
    </row>
    <row r="102" spans="1:10" x14ac:dyDescent="0.2">
      <c r="A102" s="27" t="s">
        <v>561</v>
      </c>
      <c r="B102" s="27" t="s">
        <v>553</v>
      </c>
      <c r="C102" s="29" t="s">
        <v>557</v>
      </c>
      <c r="D102" s="22" t="s">
        <v>569</v>
      </c>
      <c r="E102" s="118">
        <v>13</v>
      </c>
      <c r="F102" s="109" t="s">
        <v>128</v>
      </c>
      <c r="G102" s="109" t="s">
        <v>129</v>
      </c>
      <c r="H102" s="110" t="s">
        <v>25</v>
      </c>
      <c r="I102" s="111" t="s">
        <v>130</v>
      </c>
      <c r="J102" s="124" t="s">
        <v>644</v>
      </c>
    </row>
    <row r="103" spans="1:10" x14ac:dyDescent="0.2">
      <c r="A103" s="27" t="s">
        <v>561</v>
      </c>
      <c r="B103" s="27" t="s">
        <v>553</v>
      </c>
      <c r="C103" s="29" t="s">
        <v>557</v>
      </c>
      <c r="D103" s="22" t="s">
        <v>569</v>
      </c>
      <c r="E103" s="118">
        <v>14</v>
      </c>
      <c r="F103" s="109" t="s">
        <v>262</v>
      </c>
      <c r="G103" s="109" t="s">
        <v>263</v>
      </c>
      <c r="H103" s="110" t="s">
        <v>25</v>
      </c>
      <c r="I103" s="111" t="s">
        <v>264</v>
      </c>
      <c r="J103" s="124" t="s">
        <v>645</v>
      </c>
    </row>
    <row r="104" spans="1:10" x14ac:dyDescent="0.2">
      <c r="A104" s="27" t="s">
        <v>561</v>
      </c>
      <c r="B104" s="27" t="s">
        <v>553</v>
      </c>
      <c r="C104" s="29" t="s">
        <v>557</v>
      </c>
      <c r="D104" s="22" t="s">
        <v>569</v>
      </c>
      <c r="E104" s="118">
        <v>15</v>
      </c>
      <c r="F104" s="109" t="s">
        <v>331</v>
      </c>
      <c r="G104" s="109" t="s">
        <v>332</v>
      </c>
      <c r="H104" s="110" t="s">
        <v>25</v>
      </c>
      <c r="I104" s="111" t="s">
        <v>61</v>
      </c>
      <c r="J104" s="124" t="s">
        <v>646</v>
      </c>
    </row>
    <row r="105" spans="1:10" x14ac:dyDescent="0.2">
      <c r="A105" s="27" t="s">
        <v>561</v>
      </c>
      <c r="B105" s="27" t="s">
        <v>553</v>
      </c>
      <c r="C105" s="29" t="s">
        <v>557</v>
      </c>
      <c r="D105" s="22" t="s">
        <v>569</v>
      </c>
      <c r="E105" s="118">
        <v>16</v>
      </c>
      <c r="F105" s="109" t="s">
        <v>278</v>
      </c>
      <c r="G105" s="109" t="s">
        <v>279</v>
      </c>
      <c r="H105" s="110" t="s">
        <v>25</v>
      </c>
      <c r="I105" s="111" t="s">
        <v>280</v>
      </c>
      <c r="J105" s="124" t="s">
        <v>647</v>
      </c>
    </row>
    <row r="106" spans="1:10" x14ac:dyDescent="0.2">
      <c r="A106" s="27" t="s">
        <v>561</v>
      </c>
      <c r="B106" s="27" t="s">
        <v>553</v>
      </c>
      <c r="C106" s="29" t="s">
        <v>557</v>
      </c>
      <c r="D106" s="22" t="s">
        <v>569</v>
      </c>
      <c r="E106" s="118">
        <v>17</v>
      </c>
      <c r="F106" s="109" t="s">
        <v>111</v>
      </c>
      <c r="G106" s="109" t="s">
        <v>112</v>
      </c>
      <c r="H106" s="110" t="s">
        <v>25</v>
      </c>
      <c r="I106" s="111" t="s">
        <v>113</v>
      </c>
      <c r="J106" s="124" t="s">
        <v>648</v>
      </c>
    </row>
    <row r="107" spans="1:10" x14ac:dyDescent="0.2">
      <c r="A107" s="27" t="s">
        <v>561</v>
      </c>
      <c r="B107" s="27" t="s">
        <v>553</v>
      </c>
      <c r="C107" s="29" t="s">
        <v>557</v>
      </c>
      <c r="D107" s="22" t="s">
        <v>569</v>
      </c>
      <c r="E107" s="118">
        <v>17</v>
      </c>
      <c r="F107" s="109" t="s">
        <v>385</v>
      </c>
      <c r="G107" s="109" t="s">
        <v>386</v>
      </c>
      <c r="H107" s="110" t="s">
        <v>25</v>
      </c>
      <c r="I107" s="111" t="s">
        <v>142</v>
      </c>
      <c r="J107" s="124" t="s">
        <v>648</v>
      </c>
    </row>
    <row r="108" spans="1:10" x14ac:dyDescent="0.2">
      <c r="A108" s="27" t="s">
        <v>561</v>
      </c>
      <c r="B108" s="27" t="s">
        <v>553</v>
      </c>
      <c r="C108" s="29" t="s">
        <v>557</v>
      </c>
      <c r="D108" s="22" t="s">
        <v>569</v>
      </c>
      <c r="E108" s="118">
        <v>17</v>
      </c>
      <c r="F108" s="109" t="s">
        <v>400</v>
      </c>
      <c r="G108" s="109" t="s">
        <v>401</v>
      </c>
      <c r="H108" s="110" t="s">
        <v>25</v>
      </c>
      <c r="I108" s="111" t="s">
        <v>402</v>
      </c>
      <c r="J108" s="124" t="s">
        <v>648</v>
      </c>
    </row>
    <row r="109" spans="1:10" x14ac:dyDescent="0.2">
      <c r="A109" s="27" t="s">
        <v>561</v>
      </c>
      <c r="B109" s="27" t="s">
        <v>553</v>
      </c>
      <c r="C109" s="29" t="s">
        <v>557</v>
      </c>
      <c r="D109" s="22" t="s">
        <v>569</v>
      </c>
      <c r="E109" s="118">
        <v>20</v>
      </c>
      <c r="F109" s="109" t="s">
        <v>268</v>
      </c>
      <c r="G109" s="109" t="s">
        <v>166</v>
      </c>
      <c r="H109" s="110" t="s">
        <v>25</v>
      </c>
      <c r="I109" s="111" t="s">
        <v>161</v>
      </c>
      <c r="J109" s="124" t="s">
        <v>649</v>
      </c>
    </row>
    <row r="110" spans="1:10" x14ac:dyDescent="0.2">
      <c r="A110" s="27" t="s">
        <v>561</v>
      </c>
      <c r="B110" s="27" t="s">
        <v>553</v>
      </c>
      <c r="C110" s="29" t="s">
        <v>557</v>
      </c>
      <c r="D110" s="22" t="s">
        <v>569</v>
      </c>
      <c r="E110" s="118">
        <v>21</v>
      </c>
      <c r="F110" s="109" t="s">
        <v>59</v>
      </c>
      <c r="G110" s="109" t="s">
        <v>60</v>
      </c>
      <c r="H110" s="110" t="s">
        <v>25</v>
      </c>
      <c r="I110" s="111" t="s">
        <v>650</v>
      </c>
      <c r="J110" s="124" t="s">
        <v>651</v>
      </c>
    </row>
    <row r="111" spans="1:10" x14ac:dyDescent="0.2">
      <c r="A111" s="27" t="s">
        <v>561</v>
      </c>
      <c r="B111" s="27" t="s">
        <v>553</v>
      </c>
      <c r="C111" s="29" t="s">
        <v>557</v>
      </c>
      <c r="D111" s="22" t="s">
        <v>569</v>
      </c>
      <c r="E111" s="118">
        <v>22</v>
      </c>
      <c r="F111" s="109" t="s">
        <v>211</v>
      </c>
      <c r="G111" s="109" t="s">
        <v>212</v>
      </c>
      <c r="H111" s="110" t="s">
        <v>21</v>
      </c>
      <c r="I111" s="111" t="s">
        <v>213</v>
      </c>
      <c r="J111" s="124" t="s">
        <v>652</v>
      </c>
    </row>
    <row r="112" spans="1:10" x14ac:dyDescent="0.2">
      <c r="A112" s="27" t="s">
        <v>561</v>
      </c>
      <c r="B112" s="27" t="s">
        <v>553</v>
      </c>
      <c r="C112" s="29" t="s">
        <v>557</v>
      </c>
      <c r="D112" s="22" t="s">
        <v>569</v>
      </c>
      <c r="E112" s="118">
        <v>23</v>
      </c>
      <c r="F112" s="109" t="s">
        <v>11</v>
      </c>
      <c r="G112" s="109" t="s">
        <v>12</v>
      </c>
      <c r="H112" s="110" t="s">
        <v>13</v>
      </c>
      <c r="I112" s="111" t="s">
        <v>14</v>
      </c>
      <c r="J112" s="124" t="s">
        <v>653</v>
      </c>
    </row>
    <row r="113" spans="1:10" x14ac:dyDescent="0.2">
      <c r="A113" s="27" t="s">
        <v>561</v>
      </c>
      <c r="B113" s="27" t="s">
        <v>553</v>
      </c>
      <c r="C113" s="29" t="s">
        <v>557</v>
      </c>
      <c r="D113" s="22" t="s">
        <v>569</v>
      </c>
      <c r="E113" s="118">
        <v>24</v>
      </c>
      <c r="F113" s="109" t="s">
        <v>134</v>
      </c>
      <c r="G113" s="109" t="s">
        <v>135</v>
      </c>
      <c r="H113" s="110" t="s">
        <v>9</v>
      </c>
      <c r="I113" s="111" t="s">
        <v>136</v>
      </c>
      <c r="J113" s="124" t="s">
        <v>654</v>
      </c>
    </row>
    <row r="114" spans="1:10" x14ac:dyDescent="0.2">
      <c r="A114" s="27" t="s">
        <v>561</v>
      </c>
      <c r="B114" s="27" t="s">
        <v>553</v>
      </c>
      <c r="C114" s="29" t="s">
        <v>557</v>
      </c>
      <c r="D114" s="22" t="s">
        <v>569</v>
      </c>
      <c r="E114" s="118">
        <v>25</v>
      </c>
      <c r="F114" s="109" t="s">
        <v>217</v>
      </c>
      <c r="G114" s="109" t="s">
        <v>66</v>
      </c>
      <c r="H114" s="110" t="s">
        <v>25</v>
      </c>
      <c r="I114" s="111" t="s">
        <v>218</v>
      </c>
      <c r="J114" s="124" t="s">
        <v>610</v>
      </c>
    </row>
    <row r="115" spans="1:10" x14ac:dyDescent="0.2">
      <c r="A115" s="27" t="s">
        <v>561</v>
      </c>
      <c r="B115" s="27" t="s">
        <v>553</v>
      </c>
      <c r="C115" s="29" t="s">
        <v>557</v>
      </c>
      <c r="D115" s="22" t="s">
        <v>569</v>
      </c>
      <c r="E115" s="118">
        <v>25</v>
      </c>
      <c r="F115" s="109" t="s">
        <v>182</v>
      </c>
      <c r="G115" s="109" t="s">
        <v>183</v>
      </c>
      <c r="H115" s="110" t="s">
        <v>25</v>
      </c>
      <c r="I115" s="111" t="s">
        <v>184</v>
      </c>
      <c r="J115" s="124" t="s">
        <v>610</v>
      </c>
    </row>
    <row r="116" spans="1:10" x14ac:dyDescent="0.2">
      <c r="A116" s="27" t="s">
        <v>561</v>
      </c>
      <c r="B116" s="27" t="s">
        <v>553</v>
      </c>
      <c r="C116" s="29" t="s">
        <v>557</v>
      </c>
      <c r="D116" s="22" t="s">
        <v>569</v>
      </c>
      <c r="E116" s="118">
        <v>25</v>
      </c>
      <c r="F116" s="109" t="s">
        <v>140</v>
      </c>
      <c r="G116" s="109" t="s">
        <v>141</v>
      </c>
      <c r="H116" s="110" t="s">
        <v>25</v>
      </c>
      <c r="I116" s="111" t="s">
        <v>246</v>
      </c>
      <c r="J116" s="124" t="s">
        <v>610</v>
      </c>
    </row>
    <row r="117" spans="1:10" x14ac:dyDescent="0.2">
      <c r="A117" s="27" t="s">
        <v>561</v>
      </c>
      <c r="B117" s="27" t="s">
        <v>553</v>
      </c>
      <c r="C117" s="29" t="s">
        <v>557</v>
      </c>
      <c r="D117" s="22" t="s">
        <v>569</v>
      </c>
      <c r="E117" s="118">
        <v>28</v>
      </c>
      <c r="F117" s="109" t="s">
        <v>348</v>
      </c>
      <c r="G117" s="109" t="s">
        <v>349</v>
      </c>
      <c r="H117" s="110" t="s">
        <v>21</v>
      </c>
      <c r="I117" s="111" t="s">
        <v>79</v>
      </c>
      <c r="J117" s="124" t="s">
        <v>655</v>
      </c>
    </row>
    <row r="118" spans="1:10" x14ac:dyDescent="0.2">
      <c r="A118" s="27" t="s">
        <v>561</v>
      </c>
      <c r="B118" s="27" t="s">
        <v>553</v>
      </c>
      <c r="C118" s="29" t="s">
        <v>557</v>
      </c>
      <c r="D118" s="22" t="s">
        <v>569</v>
      </c>
      <c r="E118" s="118">
        <v>29</v>
      </c>
      <c r="F118" s="109" t="s">
        <v>222</v>
      </c>
      <c r="G118" s="109" t="s">
        <v>223</v>
      </c>
      <c r="H118" s="110" t="s">
        <v>21</v>
      </c>
      <c r="I118" s="111" t="s">
        <v>224</v>
      </c>
      <c r="J118" s="124" t="s">
        <v>656</v>
      </c>
    </row>
    <row r="119" spans="1:10" x14ac:dyDescent="0.2">
      <c r="A119" s="27" t="s">
        <v>561</v>
      </c>
      <c r="B119" s="27" t="s">
        <v>553</v>
      </c>
      <c r="C119" s="29" t="s">
        <v>557</v>
      </c>
      <c r="D119" s="22" t="s">
        <v>569</v>
      </c>
      <c r="E119" s="118">
        <v>30</v>
      </c>
      <c r="F119" s="109" t="s">
        <v>317</v>
      </c>
      <c r="G119" s="109" t="s">
        <v>94</v>
      </c>
      <c r="H119" s="110" t="s">
        <v>54</v>
      </c>
      <c r="I119" s="111" t="s">
        <v>190</v>
      </c>
      <c r="J119" s="124" t="s">
        <v>657</v>
      </c>
    </row>
    <row r="120" spans="1:10" x14ac:dyDescent="0.2">
      <c r="A120" s="27" t="s">
        <v>561</v>
      </c>
      <c r="B120" s="27" t="s">
        <v>553</v>
      </c>
      <c r="C120" s="29" t="s">
        <v>557</v>
      </c>
      <c r="D120" s="22" t="s">
        <v>569</v>
      </c>
      <c r="E120" s="118">
        <v>30</v>
      </c>
      <c r="F120" s="109" t="s">
        <v>354</v>
      </c>
      <c r="G120" s="109" t="s">
        <v>355</v>
      </c>
      <c r="H120" s="110" t="s">
        <v>25</v>
      </c>
      <c r="I120" s="111" t="s">
        <v>55</v>
      </c>
      <c r="J120" s="124" t="s">
        <v>658</v>
      </c>
    </row>
    <row r="121" spans="1:10" x14ac:dyDescent="0.2">
      <c r="A121" s="27" t="s">
        <v>561</v>
      </c>
      <c r="B121" s="27" t="s">
        <v>553</v>
      </c>
      <c r="C121" s="29" t="s">
        <v>557</v>
      </c>
      <c r="D121" s="22" t="s">
        <v>569</v>
      </c>
      <c r="E121" s="118">
        <v>32</v>
      </c>
      <c r="F121" s="109" t="s">
        <v>327</v>
      </c>
      <c r="G121" s="109" t="s">
        <v>328</v>
      </c>
      <c r="H121" s="110" t="s">
        <v>21</v>
      </c>
      <c r="I121" s="111" t="s">
        <v>101</v>
      </c>
      <c r="J121" s="124" t="s">
        <v>659</v>
      </c>
    </row>
    <row r="122" spans="1:10" x14ac:dyDescent="0.2">
      <c r="A122" s="27" t="s">
        <v>561</v>
      </c>
      <c r="B122" s="27" t="s">
        <v>553</v>
      </c>
      <c r="C122" s="29" t="s">
        <v>557</v>
      </c>
      <c r="D122" s="22" t="s">
        <v>569</v>
      </c>
      <c r="E122" s="118">
        <v>32</v>
      </c>
      <c r="F122" s="109" t="s">
        <v>380</v>
      </c>
      <c r="G122" s="109" t="s">
        <v>381</v>
      </c>
      <c r="H122" s="110" t="s">
        <v>21</v>
      </c>
      <c r="I122" s="111" t="s">
        <v>178</v>
      </c>
      <c r="J122" s="124" t="s">
        <v>659</v>
      </c>
    </row>
    <row r="123" spans="1:10" x14ac:dyDescent="0.2">
      <c r="A123" s="27" t="s">
        <v>561</v>
      </c>
      <c r="B123" s="27" t="s">
        <v>553</v>
      </c>
      <c r="C123" s="29" t="s">
        <v>557</v>
      </c>
      <c r="D123" s="22" t="s">
        <v>569</v>
      </c>
      <c r="E123" s="118">
        <v>32</v>
      </c>
      <c r="F123" s="109" t="s">
        <v>278</v>
      </c>
      <c r="G123" s="109" t="s">
        <v>284</v>
      </c>
      <c r="H123" s="110" t="s">
        <v>54</v>
      </c>
      <c r="I123" s="111" t="s">
        <v>295</v>
      </c>
      <c r="J123" s="124" t="s">
        <v>659</v>
      </c>
    </row>
    <row r="124" spans="1:10" x14ac:dyDescent="0.2">
      <c r="A124" s="27" t="s">
        <v>561</v>
      </c>
      <c r="B124" s="27" t="s">
        <v>553</v>
      </c>
      <c r="C124" s="29" t="s">
        <v>557</v>
      </c>
      <c r="D124" s="22" t="s">
        <v>569</v>
      </c>
      <c r="E124" s="118">
        <v>32</v>
      </c>
      <c r="F124" s="109" t="s">
        <v>83</v>
      </c>
      <c r="G124" s="109" t="s">
        <v>84</v>
      </c>
      <c r="H124" s="110" t="s">
        <v>21</v>
      </c>
      <c r="I124" s="111" t="s">
        <v>85</v>
      </c>
      <c r="J124" s="124" t="s">
        <v>659</v>
      </c>
    </row>
    <row r="125" spans="1:10" x14ac:dyDescent="0.2">
      <c r="A125" s="27" t="s">
        <v>561</v>
      </c>
      <c r="B125" s="27" t="s">
        <v>553</v>
      </c>
      <c r="C125" s="29" t="s">
        <v>557</v>
      </c>
      <c r="D125" s="22" t="s">
        <v>569</v>
      </c>
      <c r="E125" s="118">
        <v>36</v>
      </c>
      <c r="F125" s="109" t="s">
        <v>244</v>
      </c>
      <c r="G125" s="109" t="s">
        <v>245</v>
      </c>
      <c r="H125" s="110" t="s">
        <v>54</v>
      </c>
      <c r="I125" s="111" t="s">
        <v>172</v>
      </c>
      <c r="J125" s="124" t="s">
        <v>660</v>
      </c>
    </row>
    <row r="126" spans="1:10" x14ac:dyDescent="0.2">
      <c r="A126" s="27" t="s">
        <v>561</v>
      </c>
      <c r="B126" s="27" t="s">
        <v>553</v>
      </c>
      <c r="C126" s="29" t="s">
        <v>557</v>
      </c>
      <c r="D126" s="22" t="s">
        <v>569</v>
      </c>
      <c r="E126" s="118">
        <v>37</v>
      </c>
      <c r="F126" s="109" t="s">
        <v>77</v>
      </c>
      <c r="G126" s="109" t="s">
        <v>78</v>
      </c>
      <c r="H126" s="110" t="s">
        <v>54</v>
      </c>
      <c r="I126" s="111" t="s">
        <v>661</v>
      </c>
      <c r="J126" s="124" t="s">
        <v>662</v>
      </c>
    </row>
    <row r="127" spans="1:10" x14ac:dyDescent="0.2">
      <c r="A127" s="27" t="s">
        <v>561</v>
      </c>
      <c r="B127" s="27" t="s">
        <v>553</v>
      </c>
      <c r="C127" s="29" t="s">
        <v>557</v>
      </c>
      <c r="D127" s="22" t="s">
        <v>569</v>
      </c>
      <c r="E127" s="118">
        <v>38</v>
      </c>
      <c r="F127" s="109" t="s">
        <v>389</v>
      </c>
      <c r="G127" s="109" t="s">
        <v>72</v>
      </c>
      <c r="H127" s="110" t="s">
        <v>21</v>
      </c>
      <c r="I127" s="111" t="s">
        <v>390</v>
      </c>
      <c r="J127" s="124" t="s">
        <v>663</v>
      </c>
    </row>
    <row r="128" spans="1:10" x14ac:dyDescent="0.2">
      <c r="A128" s="27" t="s">
        <v>561</v>
      </c>
      <c r="B128" s="27" t="s">
        <v>553</v>
      </c>
      <c r="C128" s="29" t="s">
        <v>557</v>
      </c>
      <c r="D128" s="22" t="s">
        <v>569</v>
      </c>
      <c r="E128" s="118">
        <v>39</v>
      </c>
      <c r="F128" s="109" t="s">
        <v>375</v>
      </c>
      <c r="G128" s="109" t="s">
        <v>376</v>
      </c>
      <c r="H128" s="110" t="s">
        <v>54</v>
      </c>
      <c r="I128" s="111" t="s">
        <v>664</v>
      </c>
      <c r="J128" s="124" t="s">
        <v>622</v>
      </c>
    </row>
    <row r="129" spans="1:10" x14ac:dyDescent="0.2">
      <c r="A129" s="27" t="s">
        <v>561</v>
      </c>
      <c r="B129" s="27" t="s">
        <v>553</v>
      </c>
      <c r="C129" s="29" t="s">
        <v>557</v>
      </c>
      <c r="D129" s="22" t="s">
        <v>569</v>
      </c>
      <c r="E129" s="118">
        <v>39</v>
      </c>
      <c r="F129" s="109" t="s">
        <v>188</v>
      </c>
      <c r="G129" s="109" t="s">
        <v>189</v>
      </c>
      <c r="H129" s="110" t="s">
        <v>54</v>
      </c>
      <c r="I129" s="111" t="s">
        <v>665</v>
      </c>
      <c r="J129" s="124" t="s">
        <v>622</v>
      </c>
    </row>
    <row r="130" spans="1:10" x14ac:dyDescent="0.2">
      <c r="A130" s="27" t="s">
        <v>561</v>
      </c>
      <c r="B130" s="27" t="s">
        <v>553</v>
      </c>
      <c r="C130" s="29" t="s">
        <v>557</v>
      </c>
      <c r="D130" s="22" t="s">
        <v>569</v>
      </c>
      <c r="E130" s="118">
        <v>41</v>
      </c>
      <c r="F130" s="109" t="s">
        <v>256</v>
      </c>
      <c r="G130" s="109" t="s">
        <v>257</v>
      </c>
      <c r="H130" s="110" t="s">
        <v>17</v>
      </c>
      <c r="I130" s="111" t="s">
        <v>258</v>
      </c>
      <c r="J130" s="124" t="s">
        <v>666</v>
      </c>
    </row>
    <row r="131" spans="1:10" x14ac:dyDescent="0.2">
      <c r="A131" s="27" t="s">
        <v>561</v>
      </c>
      <c r="B131" s="27" t="s">
        <v>553</v>
      </c>
      <c r="C131" s="29" t="s">
        <v>557</v>
      </c>
      <c r="D131" s="22" t="s">
        <v>569</v>
      </c>
      <c r="E131" s="118">
        <v>42</v>
      </c>
      <c r="F131" s="109" t="s">
        <v>52</v>
      </c>
      <c r="G131" s="109" t="s">
        <v>53</v>
      </c>
      <c r="H131" s="110" t="s">
        <v>54</v>
      </c>
      <c r="I131" s="111" t="s">
        <v>667</v>
      </c>
      <c r="J131" s="124" t="s">
        <v>668</v>
      </c>
    </row>
    <row r="132" spans="1:10" x14ac:dyDescent="0.2">
      <c r="A132" s="27" t="s">
        <v>561</v>
      </c>
      <c r="B132" s="27" t="s">
        <v>553</v>
      </c>
      <c r="C132" s="29" t="s">
        <v>557</v>
      </c>
      <c r="D132" s="22" t="s">
        <v>569</v>
      </c>
      <c r="E132" s="118">
        <v>42</v>
      </c>
      <c r="F132" s="109" t="s">
        <v>99</v>
      </c>
      <c r="G132" s="109" t="s">
        <v>100</v>
      </c>
      <c r="H132" s="110" t="s">
        <v>54</v>
      </c>
      <c r="I132" s="111" t="s">
        <v>669</v>
      </c>
      <c r="J132" s="124" t="s">
        <v>668</v>
      </c>
    </row>
    <row r="133" spans="1:10" x14ac:dyDescent="0.2">
      <c r="A133" s="27" t="s">
        <v>561</v>
      </c>
      <c r="B133" s="27" t="s">
        <v>553</v>
      </c>
      <c r="C133" s="29" t="s">
        <v>557</v>
      </c>
      <c r="D133" s="22" t="s">
        <v>569</v>
      </c>
      <c r="E133" s="118">
        <v>44</v>
      </c>
      <c r="F133" s="109" t="s">
        <v>176</v>
      </c>
      <c r="G133" s="109" t="s">
        <v>177</v>
      </c>
      <c r="H133" s="110" t="s">
        <v>54</v>
      </c>
      <c r="I133" s="111" t="s">
        <v>350</v>
      </c>
      <c r="J133" s="124" t="s">
        <v>670</v>
      </c>
    </row>
    <row r="134" spans="1:10" x14ac:dyDescent="0.2">
      <c r="A134" s="27" t="s">
        <v>561</v>
      </c>
      <c r="B134" s="27" t="s">
        <v>553</v>
      </c>
      <c r="C134" s="29" t="s">
        <v>557</v>
      </c>
      <c r="D134" s="22" t="s">
        <v>569</v>
      </c>
      <c r="E134" s="118">
        <v>45</v>
      </c>
      <c r="F134" s="109" t="s">
        <v>294</v>
      </c>
      <c r="G134" s="109" t="s">
        <v>94</v>
      </c>
      <c r="H134" s="110" t="s">
        <v>54</v>
      </c>
      <c r="I134" s="111" t="s">
        <v>671</v>
      </c>
      <c r="J134" s="124" t="s">
        <v>672</v>
      </c>
    </row>
    <row r="135" spans="1:10" x14ac:dyDescent="0.2">
      <c r="A135" s="27" t="s">
        <v>561</v>
      </c>
      <c r="B135" s="27" t="s">
        <v>553</v>
      </c>
      <c r="C135" s="29" t="s">
        <v>557</v>
      </c>
      <c r="D135" s="22" t="s">
        <v>569</v>
      </c>
      <c r="E135" s="118">
        <v>46</v>
      </c>
      <c r="F135" s="109" t="s">
        <v>370</v>
      </c>
      <c r="G135" s="109" t="s">
        <v>72</v>
      </c>
      <c r="H135" s="110" t="s">
        <v>17</v>
      </c>
      <c r="I135" s="111" t="s">
        <v>371</v>
      </c>
      <c r="J135" s="124" t="s">
        <v>625</v>
      </c>
    </row>
    <row r="136" spans="1:10" x14ac:dyDescent="0.2">
      <c r="A136" s="27" t="s">
        <v>561</v>
      </c>
      <c r="B136" s="27" t="s">
        <v>553</v>
      </c>
      <c r="C136" s="29" t="s">
        <v>557</v>
      </c>
      <c r="D136" s="22" t="s">
        <v>569</v>
      </c>
      <c r="E136" s="118">
        <v>47</v>
      </c>
      <c r="F136" s="109" t="s">
        <v>359</v>
      </c>
      <c r="G136" s="109" t="s">
        <v>360</v>
      </c>
      <c r="H136" s="110" t="s">
        <v>13</v>
      </c>
      <c r="I136" s="111" t="s">
        <v>673</v>
      </c>
      <c r="J136" s="124" t="s">
        <v>674</v>
      </c>
    </row>
    <row r="137" spans="1:10" x14ac:dyDescent="0.2">
      <c r="A137" s="27" t="s">
        <v>561</v>
      </c>
      <c r="B137" s="27" t="s">
        <v>553</v>
      </c>
      <c r="C137" s="29" t="s">
        <v>557</v>
      </c>
      <c r="D137" s="22" t="s">
        <v>569</v>
      </c>
      <c r="E137" s="118">
        <v>48</v>
      </c>
      <c r="F137" s="109" t="s">
        <v>207</v>
      </c>
      <c r="G137" s="109" t="s">
        <v>208</v>
      </c>
      <c r="H137" s="110" t="s">
        <v>54</v>
      </c>
      <c r="I137" s="111" t="s">
        <v>89</v>
      </c>
      <c r="J137" s="124" t="s">
        <v>675</v>
      </c>
    </row>
    <row r="138" spans="1:10" x14ac:dyDescent="0.2">
      <c r="A138" s="27" t="s">
        <v>561</v>
      </c>
      <c r="B138" s="27" t="s">
        <v>553</v>
      </c>
      <c r="C138" s="29" t="s">
        <v>557</v>
      </c>
      <c r="D138" s="22" t="s">
        <v>569</v>
      </c>
      <c r="E138" s="118">
        <v>49</v>
      </c>
      <c r="F138" s="109" t="s">
        <v>170</v>
      </c>
      <c r="G138" s="109" t="s">
        <v>171</v>
      </c>
      <c r="H138" s="110" t="s">
        <v>54</v>
      </c>
      <c r="I138" s="111" t="s">
        <v>676</v>
      </c>
      <c r="J138" s="124" t="s">
        <v>677</v>
      </c>
    </row>
    <row r="139" spans="1:10" x14ac:dyDescent="0.2">
      <c r="A139" s="27" t="s">
        <v>561</v>
      </c>
      <c r="B139" s="27" t="s">
        <v>553</v>
      </c>
      <c r="C139" s="29" t="s">
        <v>557</v>
      </c>
      <c r="D139" s="22" t="s">
        <v>569</v>
      </c>
      <c r="E139" s="118" t="s">
        <v>568</v>
      </c>
      <c r="F139" s="109" t="s">
        <v>159</v>
      </c>
      <c r="G139" s="109" t="s">
        <v>160</v>
      </c>
      <c r="H139" s="110" t="s">
        <v>25</v>
      </c>
      <c r="I139" s="111" t="s">
        <v>678</v>
      </c>
      <c r="J139" s="124">
        <v>0</v>
      </c>
    </row>
    <row r="140" spans="1:10" x14ac:dyDescent="0.2">
      <c r="A140" s="27" t="s">
        <v>561</v>
      </c>
      <c r="B140" s="27" t="s">
        <v>553</v>
      </c>
      <c r="C140" s="29" t="s">
        <v>557</v>
      </c>
      <c r="D140" s="22" t="s">
        <v>569</v>
      </c>
      <c r="E140" s="118" t="s">
        <v>568</v>
      </c>
      <c r="F140" s="109" t="s">
        <v>365</v>
      </c>
      <c r="G140" s="109" t="s">
        <v>366</v>
      </c>
      <c r="H140" s="110" t="s">
        <v>25</v>
      </c>
      <c r="I140" s="111" t="s">
        <v>361</v>
      </c>
      <c r="J140" s="124">
        <v>0</v>
      </c>
    </row>
    <row r="141" spans="1:10" ht="25.5" x14ac:dyDescent="0.2">
      <c r="A141" s="27" t="s">
        <v>561</v>
      </c>
      <c r="B141" s="27" t="s">
        <v>553</v>
      </c>
      <c r="C141" s="29" t="s">
        <v>557</v>
      </c>
      <c r="D141" s="22" t="s">
        <v>569</v>
      </c>
      <c r="E141" s="118" t="s">
        <v>628</v>
      </c>
      <c r="F141" s="109" t="s">
        <v>117</v>
      </c>
      <c r="G141" s="109" t="s">
        <v>118</v>
      </c>
      <c r="H141" s="110" t="s">
        <v>17</v>
      </c>
      <c r="I141" s="111" t="s">
        <v>119</v>
      </c>
      <c r="J141" s="120" t="s">
        <v>629</v>
      </c>
    </row>
    <row r="142" spans="1:10" ht="25.5" x14ac:dyDescent="0.2">
      <c r="A142" s="27" t="s">
        <v>561</v>
      </c>
      <c r="B142" s="27" t="s">
        <v>553</v>
      </c>
      <c r="C142" s="29" t="s">
        <v>557</v>
      </c>
      <c r="D142" s="22" t="s">
        <v>569</v>
      </c>
      <c r="E142" s="118" t="s">
        <v>628</v>
      </c>
      <c r="F142" s="109" t="s">
        <v>679</v>
      </c>
      <c r="G142" s="109" t="s">
        <v>322</v>
      </c>
      <c r="H142" s="110" t="s">
        <v>680</v>
      </c>
      <c r="I142" s="111" t="s">
        <v>681</v>
      </c>
      <c r="J142" s="120" t="s">
        <v>629</v>
      </c>
    </row>
    <row r="143" spans="1:10" ht="25.5" x14ac:dyDescent="0.2">
      <c r="A143" s="27" t="s">
        <v>561</v>
      </c>
      <c r="B143" s="27" t="s">
        <v>553</v>
      </c>
      <c r="C143" s="29" t="s">
        <v>557</v>
      </c>
      <c r="D143" s="22" t="s">
        <v>569</v>
      </c>
      <c r="E143" s="118" t="s">
        <v>628</v>
      </c>
      <c r="F143" s="109" t="s">
        <v>71</v>
      </c>
      <c r="G143" s="109" t="s">
        <v>72</v>
      </c>
      <c r="H143" s="110" t="s">
        <v>25</v>
      </c>
      <c r="I143" s="111" t="s">
        <v>73</v>
      </c>
      <c r="J143" s="120" t="s">
        <v>629</v>
      </c>
    </row>
    <row r="144" spans="1:10" ht="25.5" x14ac:dyDescent="0.2">
      <c r="A144" s="27" t="s">
        <v>561</v>
      </c>
      <c r="B144" s="27" t="s">
        <v>553</v>
      </c>
      <c r="C144" s="29" t="s">
        <v>557</v>
      </c>
      <c r="D144" s="22" t="s">
        <v>569</v>
      </c>
      <c r="E144" s="118" t="s">
        <v>628</v>
      </c>
      <c r="F144" s="109" t="s">
        <v>238</v>
      </c>
      <c r="G144" s="109" t="s">
        <v>239</v>
      </c>
      <c r="H144" s="110" t="s">
        <v>17</v>
      </c>
      <c r="I144" s="111" t="s">
        <v>240</v>
      </c>
      <c r="J144" s="120" t="s">
        <v>629</v>
      </c>
    </row>
    <row r="145" spans="1:10" ht="25.5" x14ac:dyDescent="0.2">
      <c r="A145" s="27" t="s">
        <v>561</v>
      </c>
      <c r="B145" s="27" t="s">
        <v>553</v>
      </c>
      <c r="C145" s="29" t="s">
        <v>557</v>
      </c>
      <c r="D145" s="22" t="s">
        <v>569</v>
      </c>
      <c r="E145" s="118" t="s">
        <v>628</v>
      </c>
      <c r="F145" s="109" t="s">
        <v>194</v>
      </c>
      <c r="G145" s="109" t="s">
        <v>195</v>
      </c>
      <c r="H145" s="110" t="s">
        <v>9</v>
      </c>
      <c r="I145" s="111" t="s">
        <v>196</v>
      </c>
      <c r="J145" s="120" t="s">
        <v>629</v>
      </c>
    </row>
  </sheetData>
  <mergeCells count="1">
    <mergeCell ref="A1:J1"/>
  </mergeCells>
  <phoneticPr fontId="0" type="noConversion"/>
  <pageMargins left="0.13" right="0.14000000000000001" top="0.23622047244094491" bottom="0.18" header="0.23622047244094491" footer="0.18"/>
  <pageSetup paperSize="9" scale="41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499984740745262"/>
    <pageSetUpPr fitToPage="1"/>
  </sheetPr>
  <dimension ref="A1:J59"/>
  <sheetViews>
    <sheetView topLeftCell="A29" workbookViewId="0">
      <selection activeCell="K49" sqref="K49"/>
    </sheetView>
  </sheetViews>
  <sheetFormatPr baseColWidth="10" defaultColWidth="51.7109375" defaultRowHeight="12.75" x14ac:dyDescent="0.2"/>
  <cols>
    <col min="1" max="1" width="13.42578125" style="3" bestFit="1" customWidth="1"/>
    <col min="2" max="2" width="8" style="3" bestFit="1" customWidth="1"/>
    <col min="3" max="3" width="8.42578125" style="18" bestFit="1" customWidth="1"/>
    <col min="4" max="4" width="16.140625" style="9" bestFit="1" customWidth="1"/>
    <col min="5" max="5" width="3" style="30" bestFit="1" customWidth="1"/>
    <col min="6" max="6" width="20.5703125" style="6" bestFit="1" customWidth="1"/>
    <col min="7" max="7" width="12.140625" style="6" bestFit="1" customWidth="1"/>
    <col min="8" max="8" width="22.5703125" style="10" bestFit="1" customWidth="1"/>
    <col min="9" max="9" width="11.7109375" style="2" bestFit="1" customWidth="1"/>
    <col min="10" max="10" width="5.85546875" style="30" customWidth="1"/>
    <col min="11" max="16384" width="51.7109375" style="2"/>
  </cols>
  <sheetData>
    <row r="1" spans="1:10" s="1" customFormat="1" ht="26.25" x14ac:dyDescent="0.2">
      <c r="A1" s="138" t="s">
        <v>551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x14ac:dyDescent="0.2">
      <c r="F2" s="38"/>
    </row>
    <row r="3" spans="1:10" x14ac:dyDescent="0.2">
      <c r="A3" s="146" t="s">
        <v>682</v>
      </c>
      <c r="B3" s="133" t="s">
        <v>553</v>
      </c>
      <c r="C3" s="134" t="s">
        <v>558</v>
      </c>
      <c r="D3" s="135" t="s">
        <v>683</v>
      </c>
      <c r="E3" s="148" t="str">
        <f>"1"</f>
        <v>1</v>
      </c>
      <c r="F3" s="72" t="s">
        <v>19</v>
      </c>
      <c r="G3" s="72" t="s">
        <v>20</v>
      </c>
      <c r="H3" s="98" t="s">
        <v>21</v>
      </c>
      <c r="I3" s="74" t="s">
        <v>22</v>
      </c>
      <c r="J3" s="140" t="str">
        <f>"122"</f>
        <v>122</v>
      </c>
    </row>
    <row r="4" spans="1:10" x14ac:dyDescent="0.2">
      <c r="A4" s="146"/>
      <c r="B4" s="133"/>
      <c r="C4" s="134"/>
      <c r="D4" s="136"/>
      <c r="E4" s="148"/>
      <c r="F4" s="75" t="s">
        <v>527</v>
      </c>
      <c r="G4" s="75" t="s">
        <v>528</v>
      </c>
      <c r="H4" s="98" t="s">
        <v>21</v>
      </c>
      <c r="I4" s="74" t="s">
        <v>529</v>
      </c>
      <c r="J4" s="141"/>
    </row>
    <row r="5" spans="1:10" x14ac:dyDescent="0.2">
      <c r="A5" s="146"/>
      <c r="B5" s="133"/>
      <c r="C5" s="134"/>
      <c r="D5" s="136"/>
      <c r="E5" s="148"/>
      <c r="F5" s="75" t="s">
        <v>259</v>
      </c>
      <c r="G5" s="75" t="s">
        <v>260</v>
      </c>
      <c r="H5" s="98" t="s">
        <v>21</v>
      </c>
      <c r="I5" s="74" t="s">
        <v>261</v>
      </c>
      <c r="J5" s="142"/>
    </row>
    <row r="6" spans="1:10" x14ac:dyDescent="0.2">
      <c r="A6" s="146" t="s">
        <v>682</v>
      </c>
      <c r="B6" s="133" t="s">
        <v>553</v>
      </c>
      <c r="C6" s="134" t="s">
        <v>558</v>
      </c>
      <c r="D6" s="135" t="s">
        <v>683</v>
      </c>
      <c r="E6" s="144" t="str">
        <f>"2"</f>
        <v>2</v>
      </c>
      <c r="F6" s="72" t="s">
        <v>111</v>
      </c>
      <c r="G6" s="72" t="s">
        <v>112</v>
      </c>
      <c r="H6" s="75" t="s">
        <v>25</v>
      </c>
      <c r="I6" s="74" t="s">
        <v>113</v>
      </c>
      <c r="J6" s="140" t="str">
        <f>"120"</f>
        <v>120</v>
      </c>
    </row>
    <row r="7" spans="1:10" x14ac:dyDescent="0.2">
      <c r="A7" s="146"/>
      <c r="B7" s="133"/>
      <c r="C7" s="134"/>
      <c r="D7" s="136"/>
      <c r="E7" s="144"/>
      <c r="F7" s="75" t="s">
        <v>108</v>
      </c>
      <c r="G7" s="75" t="s">
        <v>109</v>
      </c>
      <c r="H7" s="75" t="s">
        <v>25</v>
      </c>
      <c r="I7" s="74" t="s">
        <v>110</v>
      </c>
      <c r="J7" s="141"/>
    </row>
    <row r="8" spans="1:10" x14ac:dyDescent="0.2">
      <c r="A8" s="146"/>
      <c r="B8" s="133"/>
      <c r="C8" s="134"/>
      <c r="D8" s="136"/>
      <c r="E8" s="144"/>
      <c r="F8" s="75" t="s">
        <v>125</v>
      </c>
      <c r="G8" s="75" t="s">
        <v>126</v>
      </c>
      <c r="H8" s="75" t="s">
        <v>25</v>
      </c>
      <c r="I8" s="74" t="s">
        <v>127</v>
      </c>
      <c r="J8" s="142"/>
    </row>
    <row r="9" spans="1:10" x14ac:dyDescent="0.2">
      <c r="A9" s="146" t="s">
        <v>682</v>
      </c>
      <c r="B9" s="133" t="s">
        <v>553</v>
      </c>
      <c r="C9" s="134" t="s">
        <v>558</v>
      </c>
      <c r="D9" s="135" t="s">
        <v>683</v>
      </c>
      <c r="E9" s="144">
        <v>3</v>
      </c>
      <c r="F9" s="72" t="s">
        <v>11</v>
      </c>
      <c r="G9" s="72" t="s">
        <v>12</v>
      </c>
      <c r="H9" s="75" t="s">
        <v>13</v>
      </c>
      <c r="I9" s="74" t="s">
        <v>14</v>
      </c>
      <c r="J9" s="140" t="str">
        <f>"119"</f>
        <v>119</v>
      </c>
    </row>
    <row r="10" spans="1:10" x14ac:dyDescent="0.2">
      <c r="A10" s="146"/>
      <c r="B10" s="133"/>
      <c r="C10" s="134"/>
      <c r="D10" s="136"/>
      <c r="E10" s="144"/>
      <c r="F10" s="75" t="s">
        <v>102</v>
      </c>
      <c r="G10" s="75" t="s">
        <v>103</v>
      </c>
      <c r="H10" s="75" t="s">
        <v>13</v>
      </c>
      <c r="I10" s="74" t="s">
        <v>104</v>
      </c>
      <c r="J10" s="141"/>
    </row>
    <row r="11" spans="1:10" x14ac:dyDescent="0.2">
      <c r="A11" s="146"/>
      <c r="B11" s="133"/>
      <c r="C11" s="134"/>
      <c r="D11" s="136"/>
      <c r="E11" s="144"/>
      <c r="F11" s="75" t="s">
        <v>241</v>
      </c>
      <c r="G11" s="75" t="s">
        <v>242</v>
      </c>
      <c r="H11" s="75" t="s">
        <v>13</v>
      </c>
      <c r="I11" s="74" t="s">
        <v>243</v>
      </c>
      <c r="J11" s="142"/>
    </row>
    <row r="12" spans="1:10" x14ac:dyDescent="0.2">
      <c r="A12" s="146" t="s">
        <v>682</v>
      </c>
      <c r="B12" s="133" t="s">
        <v>553</v>
      </c>
      <c r="C12" s="134" t="s">
        <v>558</v>
      </c>
      <c r="D12" s="135" t="s">
        <v>683</v>
      </c>
      <c r="E12" s="144">
        <v>4</v>
      </c>
      <c r="F12" s="72" t="s">
        <v>400</v>
      </c>
      <c r="G12" s="72" t="s">
        <v>401</v>
      </c>
      <c r="H12" s="75" t="s">
        <v>25</v>
      </c>
      <c r="I12" s="74" t="s">
        <v>402</v>
      </c>
      <c r="J12" s="140" t="str">
        <f t="shared" ref="J12:J17" si="0">"118"</f>
        <v>118</v>
      </c>
    </row>
    <row r="13" spans="1:10" x14ac:dyDescent="0.2">
      <c r="A13" s="146"/>
      <c r="B13" s="133"/>
      <c r="C13" s="134"/>
      <c r="D13" s="136"/>
      <c r="E13" s="144"/>
      <c r="F13" s="72" t="s">
        <v>200</v>
      </c>
      <c r="G13" s="72" t="s">
        <v>201</v>
      </c>
      <c r="H13" s="75" t="s">
        <v>25</v>
      </c>
      <c r="I13" s="74" t="s">
        <v>202</v>
      </c>
      <c r="J13" s="141"/>
    </row>
    <row r="14" spans="1:10" x14ac:dyDescent="0.2">
      <c r="A14" s="146"/>
      <c r="B14" s="133"/>
      <c r="C14" s="134"/>
      <c r="D14" s="136"/>
      <c r="E14" s="144"/>
      <c r="F14" s="72" t="s">
        <v>65</v>
      </c>
      <c r="G14" s="72" t="s">
        <v>66</v>
      </c>
      <c r="H14" s="75" t="s">
        <v>25</v>
      </c>
      <c r="I14" s="74" t="s">
        <v>67</v>
      </c>
      <c r="J14" s="142"/>
    </row>
    <row r="15" spans="1:10" x14ac:dyDescent="0.2">
      <c r="A15" s="146" t="s">
        <v>682</v>
      </c>
      <c r="B15" s="133" t="s">
        <v>553</v>
      </c>
      <c r="C15" s="134" t="s">
        <v>558</v>
      </c>
      <c r="D15" s="135" t="s">
        <v>683</v>
      </c>
      <c r="E15" s="144">
        <v>4</v>
      </c>
      <c r="F15" s="75" t="s">
        <v>68</v>
      </c>
      <c r="G15" s="75" t="s">
        <v>69</v>
      </c>
      <c r="H15" s="75" t="s">
        <v>25</v>
      </c>
      <c r="I15" s="74" t="s">
        <v>70</v>
      </c>
      <c r="J15" s="140" t="str">
        <f t="shared" si="0"/>
        <v>118</v>
      </c>
    </row>
    <row r="16" spans="1:10" x14ac:dyDescent="0.2">
      <c r="A16" s="146"/>
      <c r="B16" s="133"/>
      <c r="C16" s="134"/>
      <c r="D16" s="136"/>
      <c r="E16" s="144"/>
      <c r="F16" s="75" t="s">
        <v>23</v>
      </c>
      <c r="G16" s="75" t="s">
        <v>24</v>
      </c>
      <c r="H16" s="75" t="s">
        <v>25</v>
      </c>
      <c r="I16" s="74" t="s">
        <v>26</v>
      </c>
      <c r="J16" s="141"/>
    </row>
    <row r="17" spans="1:10" x14ac:dyDescent="0.2">
      <c r="A17" s="146"/>
      <c r="B17" s="133"/>
      <c r="C17" s="134"/>
      <c r="D17" s="136"/>
      <c r="E17" s="144"/>
      <c r="F17" s="75" t="s">
        <v>74</v>
      </c>
      <c r="G17" s="75" t="s">
        <v>75</v>
      </c>
      <c r="H17" s="75" t="s">
        <v>25</v>
      </c>
      <c r="I17" s="74" t="s">
        <v>76</v>
      </c>
      <c r="J17" s="142"/>
    </row>
    <row r="18" spans="1:10" x14ac:dyDescent="0.2">
      <c r="A18" s="146" t="s">
        <v>682</v>
      </c>
      <c r="B18" s="133" t="s">
        <v>553</v>
      </c>
      <c r="C18" s="134" t="s">
        <v>558</v>
      </c>
      <c r="D18" s="135" t="s">
        <v>683</v>
      </c>
      <c r="E18" s="144">
        <v>6</v>
      </c>
      <c r="F18" s="72" t="s">
        <v>342</v>
      </c>
      <c r="G18" s="72" t="s">
        <v>343</v>
      </c>
      <c r="H18" s="75" t="s">
        <v>54</v>
      </c>
      <c r="I18" s="74" t="s">
        <v>344</v>
      </c>
      <c r="J18" s="140" t="str">
        <f>"117"</f>
        <v>117</v>
      </c>
    </row>
    <row r="19" spans="1:10" x14ac:dyDescent="0.2">
      <c r="A19" s="146"/>
      <c r="B19" s="133"/>
      <c r="C19" s="134"/>
      <c r="D19" s="136"/>
      <c r="E19" s="144"/>
      <c r="F19" s="72" t="s">
        <v>117</v>
      </c>
      <c r="G19" s="72" t="s">
        <v>118</v>
      </c>
      <c r="H19" s="75" t="s">
        <v>17</v>
      </c>
      <c r="I19" s="74" t="s">
        <v>119</v>
      </c>
      <c r="J19" s="141"/>
    </row>
    <row r="20" spans="1:10" x14ac:dyDescent="0.2">
      <c r="A20" s="146"/>
      <c r="B20" s="133"/>
      <c r="C20" s="134"/>
      <c r="D20" s="136"/>
      <c r="E20" s="144"/>
      <c r="F20" s="75" t="s">
        <v>36</v>
      </c>
      <c r="G20" s="75" t="s">
        <v>37</v>
      </c>
      <c r="H20" s="75" t="s">
        <v>17</v>
      </c>
      <c r="I20" s="74" t="s">
        <v>38</v>
      </c>
      <c r="J20" s="142"/>
    </row>
    <row r="21" spans="1:10" x14ac:dyDescent="0.2">
      <c r="A21" s="146" t="s">
        <v>682</v>
      </c>
      <c r="B21" s="133" t="s">
        <v>553</v>
      </c>
      <c r="C21" s="134" t="s">
        <v>558</v>
      </c>
      <c r="D21" s="135" t="s">
        <v>683</v>
      </c>
      <c r="E21" s="144">
        <v>7</v>
      </c>
      <c r="F21" s="72" t="s">
        <v>389</v>
      </c>
      <c r="G21" s="72" t="s">
        <v>72</v>
      </c>
      <c r="H21" s="98" t="s">
        <v>21</v>
      </c>
      <c r="I21" s="74" t="s">
        <v>390</v>
      </c>
      <c r="J21" s="140" t="str">
        <f t="shared" ref="J21:J26" si="1">"114"</f>
        <v>114</v>
      </c>
    </row>
    <row r="22" spans="1:10" x14ac:dyDescent="0.2">
      <c r="A22" s="146"/>
      <c r="B22" s="133"/>
      <c r="C22" s="134"/>
      <c r="D22" s="136"/>
      <c r="E22" s="144"/>
      <c r="F22" s="72" t="s">
        <v>83</v>
      </c>
      <c r="G22" s="72" t="s">
        <v>84</v>
      </c>
      <c r="H22" s="75" t="s">
        <v>21</v>
      </c>
      <c r="I22" s="74" t="s">
        <v>85</v>
      </c>
      <c r="J22" s="141"/>
    </row>
    <row r="23" spans="1:10" x14ac:dyDescent="0.2">
      <c r="A23" s="146"/>
      <c r="B23" s="133"/>
      <c r="C23" s="134"/>
      <c r="D23" s="136"/>
      <c r="E23" s="144"/>
      <c r="F23" s="72" t="s">
        <v>134</v>
      </c>
      <c r="G23" s="72" t="s">
        <v>135</v>
      </c>
      <c r="H23" s="75" t="s">
        <v>9</v>
      </c>
      <c r="I23" s="74" t="s">
        <v>136</v>
      </c>
      <c r="J23" s="142"/>
    </row>
    <row r="24" spans="1:10" x14ac:dyDescent="0.2">
      <c r="A24" s="146" t="s">
        <v>682</v>
      </c>
      <c r="B24" s="133" t="s">
        <v>553</v>
      </c>
      <c r="C24" s="134" t="s">
        <v>558</v>
      </c>
      <c r="D24" s="135" t="s">
        <v>683</v>
      </c>
      <c r="E24" s="144">
        <v>7</v>
      </c>
      <c r="F24" s="72" t="s">
        <v>194</v>
      </c>
      <c r="G24" s="72" t="s">
        <v>195</v>
      </c>
      <c r="H24" s="75" t="s">
        <v>9</v>
      </c>
      <c r="I24" s="74" t="s">
        <v>196</v>
      </c>
      <c r="J24" s="140" t="str">
        <f t="shared" si="1"/>
        <v>114</v>
      </c>
    </row>
    <row r="25" spans="1:10" x14ac:dyDescent="0.2">
      <c r="A25" s="146"/>
      <c r="B25" s="133"/>
      <c r="C25" s="134"/>
      <c r="D25" s="136"/>
      <c r="E25" s="144"/>
      <c r="F25" s="75" t="s">
        <v>333</v>
      </c>
      <c r="G25" s="75" t="s">
        <v>334</v>
      </c>
      <c r="H25" s="75" t="s">
        <v>21</v>
      </c>
      <c r="I25" s="74" t="s">
        <v>335</v>
      </c>
      <c r="J25" s="141"/>
    </row>
    <row r="26" spans="1:10" x14ac:dyDescent="0.2">
      <c r="A26" s="146"/>
      <c r="B26" s="133"/>
      <c r="C26" s="134"/>
      <c r="D26" s="136"/>
      <c r="E26" s="144"/>
      <c r="F26" s="75" t="s">
        <v>7</v>
      </c>
      <c r="G26" s="75" t="s">
        <v>8</v>
      </c>
      <c r="H26" s="75" t="s">
        <v>9</v>
      </c>
      <c r="I26" s="74" t="s">
        <v>10</v>
      </c>
      <c r="J26" s="142"/>
    </row>
    <row r="27" spans="1:10" x14ac:dyDescent="0.2">
      <c r="A27" s="146" t="s">
        <v>682</v>
      </c>
      <c r="B27" s="133" t="s">
        <v>553</v>
      </c>
      <c r="C27" s="134" t="s">
        <v>558</v>
      </c>
      <c r="D27" s="135" t="s">
        <v>683</v>
      </c>
      <c r="E27" s="144">
        <v>9</v>
      </c>
      <c r="F27" s="72" t="s">
        <v>354</v>
      </c>
      <c r="G27" s="72" t="s">
        <v>355</v>
      </c>
      <c r="H27" s="75" t="s">
        <v>25</v>
      </c>
      <c r="I27" s="74" t="s">
        <v>55</v>
      </c>
      <c r="J27" s="140" t="str">
        <f t="shared" ref="J27:J32" si="2">"113"</f>
        <v>113</v>
      </c>
    </row>
    <row r="28" spans="1:10" x14ac:dyDescent="0.2">
      <c r="A28" s="146"/>
      <c r="B28" s="133"/>
      <c r="C28" s="134"/>
      <c r="D28" s="136"/>
      <c r="E28" s="144"/>
      <c r="F28" s="72" t="s">
        <v>128</v>
      </c>
      <c r="G28" s="72" t="s">
        <v>129</v>
      </c>
      <c r="H28" s="75" t="s">
        <v>25</v>
      </c>
      <c r="I28" s="74" t="s">
        <v>130</v>
      </c>
      <c r="J28" s="141"/>
    </row>
    <row r="29" spans="1:10" x14ac:dyDescent="0.2">
      <c r="A29" s="146"/>
      <c r="B29" s="133"/>
      <c r="C29" s="134"/>
      <c r="D29" s="136"/>
      <c r="E29" s="144"/>
      <c r="F29" s="72" t="s">
        <v>268</v>
      </c>
      <c r="G29" s="72" t="s">
        <v>166</v>
      </c>
      <c r="H29" s="75" t="s">
        <v>25</v>
      </c>
      <c r="I29" s="74" t="s">
        <v>161</v>
      </c>
      <c r="J29" s="142"/>
    </row>
    <row r="30" spans="1:10" x14ac:dyDescent="0.2">
      <c r="A30" s="146" t="s">
        <v>682</v>
      </c>
      <c r="B30" s="133" t="s">
        <v>553</v>
      </c>
      <c r="C30" s="134" t="s">
        <v>558</v>
      </c>
      <c r="D30" s="135" t="s">
        <v>683</v>
      </c>
      <c r="E30" s="144">
        <v>9</v>
      </c>
      <c r="F30" s="75" t="s">
        <v>43</v>
      </c>
      <c r="G30" s="75" t="s">
        <v>44</v>
      </c>
      <c r="H30" s="75" t="s">
        <v>25</v>
      </c>
      <c r="I30" s="74" t="s">
        <v>45</v>
      </c>
      <c r="J30" s="140" t="str">
        <f t="shared" si="2"/>
        <v>113</v>
      </c>
    </row>
    <row r="31" spans="1:10" x14ac:dyDescent="0.2">
      <c r="A31" s="146"/>
      <c r="B31" s="133"/>
      <c r="C31" s="134"/>
      <c r="D31" s="136"/>
      <c r="E31" s="144"/>
      <c r="F31" s="75" t="s">
        <v>56</v>
      </c>
      <c r="G31" s="75" t="s">
        <v>57</v>
      </c>
      <c r="H31" s="75" t="s">
        <v>25</v>
      </c>
      <c r="I31" s="74" t="s">
        <v>58</v>
      </c>
      <c r="J31" s="141"/>
    </row>
    <row r="32" spans="1:10" x14ac:dyDescent="0.2">
      <c r="A32" s="146"/>
      <c r="B32" s="133"/>
      <c r="C32" s="134"/>
      <c r="D32" s="136"/>
      <c r="E32" s="144"/>
      <c r="F32" s="75" t="s">
        <v>80</v>
      </c>
      <c r="G32" s="75" t="s">
        <v>81</v>
      </c>
      <c r="H32" s="75" t="s">
        <v>25</v>
      </c>
      <c r="I32" s="74" t="s">
        <v>82</v>
      </c>
      <c r="J32" s="142"/>
    </row>
    <row r="33" spans="1:10" x14ac:dyDescent="0.2">
      <c r="A33" s="146" t="s">
        <v>682</v>
      </c>
      <c r="B33" s="133" t="s">
        <v>553</v>
      </c>
      <c r="C33" s="134" t="s">
        <v>558</v>
      </c>
      <c r="D33" s="135" t="s">
        <v>683</v>
      </c>
      <c r="E33" s="144">
        <v>11</v>
      </c>
      <c r="F33" s="72" t="s">
        <v>165</v>
      </c>
      <c r="G33" s="72" t="s">
        <v>166</v>
      </c>
      <c r="H33" s="75" t="s">
        <v>17</v>
      </c>
      <c r="I33" s="74" t="s">
        <v>167</v>
      </c>
      <c r="J33" s="140" t="str">
        <f>"112"</f>
        <v>112</v>
      </c>
    </row>
    <row r="34" spans="1:10" x14ac:dyDescent="0.2">
      <c r="A34" s="146"/>
      <c r="B34" s="133"/>
      <c r="C34" s="134"/>
      <c r="D34" s="136"/>
      <c r="E34" s="144"/>
      <c r="F34" s="75" t="s">
        <v>265</v>
      </c>
      <c r="G34" s="75" t="s">
        <v>266</v>
      </c>
      <c r="H34" s="75" t="s">
        <v>17</v>
      </c>
      <c r="I34" s="74" t="s">
        <v>267</v>
      </c>
      <c r="J34" s="141"/>
    </row>
    <row r="35" spans="1:10" x14ac:dyDescent="0.2">
      <c r="A35" s="146"/>
      <c r="B35" s="133"/>
      <c r="C35" s="134"/>
      <c r="D35" s="136"/>
      <c r="E35" s="144"/>
      <c r="F35" s="75" t="s">
        <v>30</v>
      </c>
      <c r="G35" s="75" t="s">
        <v>31</v>
      </c>
      <c r="H35" s="75" t="s">
        <v>17</v>
      </c>
      <c r="I35" s="74" t="s">
        <v>32</v>
      </c>
      <c r="J35" s="142"/>
    </row>
    <row r="36" spans="1:10" x14ac:dyDescent="0.2">
      <c r="A36" s="146" t="s">
        <v>682</v>
      </c>
      <c r="B36" s="133" t="s">
        <v>553</v>
      </c>
      <c r="C36" s="134" t="s">
        <v>558</v>
      </c>
      <c r="D36" s="135" t="s">
        <v>683</v>
      </c>
      <c r="E36" s="144">
        <v>12</v>
      </c>
      <c r="F36" s="72" t="s">
        <v>370</v>
      </c>
      <c r="G36" s="72" t="s">
        <v>72</v>
      </c>
      <c r="H36" s="75" t="s">
        <v>17</v>
      </c>
      <c r="I36" s="74" t="s">
        <v>371</v>
      </c>
      <c r="J36" s="140" t="str">
        <f>"110"</f>
        <v>110</v>
      </c>
    </row>
    <row r="37" spans="1:10" x14ac:dyDescent="0.2">
      <c r="A37" s="146"/>
      <c r="B37" s="133"/>
      <c r="C37" s="134"/>
      <c r="D37" s="136"/>
      <c r="E37" s="144"/>
      <c r="F37" s="75" t="s">
        <v>15</v>
      </c>
      <c r="G37" s="75" t="s">
        <v>16</v>
      </c>
      <c r="H37" s="75" t="s">
        <v>17</v>
      </c>
      <c r="I37" s="74" t="s">
        <v>18</v>
      </c>
      <c r="J37" s="141"/>
    </row>
    <row r="38" spans="1:10" x14ac:dyDescent="0.2">
      <c r="A38" s="146"/>
      <c r="B38" s="133"/>
      <c r="C38" s="134"/>
      <c r="D38" s="136"/>
      <c r="E38" s="144"/>
      <c r="F38" s="75" t="s">
        <v>387</v>
      </c>
      <c r="G38" s="75" t="s">
        <v>115</v>
      </c>
      <c r="H38" s="75" t="s">
        <v>17</v>
      </c>
      <c r="I38" s="74" t="s">
        <v>388</v>
      </c>
      <c r="J38" s="142"/>
    </row>
    <row r="39" spans="1:10" x14ac:dyDescent="0.2">
      <c r="A39" s="146" t="s">
        <v>682</v>
      </c>
      <c r="B39" s="133" t="s">
        <v>553</v>
      </c>
      <c r="C39" s="134" t="s">
        <v>558</v>
      </c>
      <c r="D39" s="135" t="s">
        <v>683</v>
      </c>
      <c r="E39" s="144">
        <v>13</v>
      </c>
      <c r="F39" s="72" t="s">
        <v>238</v>
      </c>
      <c r="G39" s="72" t="s">
        <v>239</v>
      </c>
      <c r="H39" s="75" t="s">
        <v>17</v>
      </c>
      <c r="I39" s="74" t="s">
        <v>240</v>
      </c>
      <c r="J39" s="140" t="str">
        <f>"99"</f>
        <v>99</v>
      </c>
    </row>
    <row r="40" spans="1:10" x14ac:dyDescent="0.2">
      <c r="A40" s="146"/>
      <c r="B40" s="133"/>
      <c r="C40" s="134"/>
      <c r="D40" s="136"/>
      <c r="E40" s="144"/>
      <c r="F40" s="75" t="s">
        <v>120</v>
      </c>
      <c r="G40" s="75" t="s">
        <v>121</v>
      </c>
      <c r="H40" s="75" t="s">
        <v>17</v>
      </c>
      <c r="I40" s="74" t="s">
        <v>122</v>
      </c>
      <c r="J40" s="141"/>
    </row>
    <row r="41" spans="1:10" x14ac:dyDescent="0.2">
      <c r="A41" s="146"/>
      <c r="B41" s="133"/>
      <c r="C41" s="134"/>
      <c r="D41" s="136"/>
      <c r="E41" s="144"/>
      <c r="F41" s="75" t="s">
        <v>131</v>
      </c>
      <c r="G41" s="75" t="s">
        <v>132</v>
      </c>
      <c r="H41" s="75" t="s">
        <v>17</v>
      </c>
      <c r="I41" s="74" t="s">
        <v>133</v>
      </c>
      <c r="J41" s="142"/>
    </row>
    <row r="42" spans="1:10" x14ac:dyDescent="0.2">
      <c r="A42" s="146" t="s">
        <v>682</v>
      </c>
      <c r="B42" s="133" t="s">
        <v>553</v>
      </c>
      <c r="C42" s="134" t="s">
        <v>558</v>
      </c>
      <c r="D42" s="135" t="s">
        <v>683</v>
      </c>
      <c r="E42" s="144">
        <v>14</v>
      </c>
      <c r="F42" s="72" t="s">
        <v>299</v>
      </c>
      <c r="G42" s="72" t="s">
        <v>300</v>
      </c>
      <c r="H42" s="75" t="s">
        <v>9</v>
      </c>
      <c r="I42" s="74" t="s">
        <v>301</v>
      </c>
      <c r="J42" s="140" t="str">
        <f>"95"</f>
        <v>95</v>
      </c>
    </row>
    <row r="43" spans="1:10" x14ac:dyDescent="0.2">
      <c r="A43" s="146"/>
      <c r="B43" s="133"/>
      <c r="C43" s="134"/>
      <c r="D43" s="136"/>
      <c r="E43" s="144"/>
      <c r="F43" s="75" t="s">
        <v>197</v>
      </c>
      <c r="G43" s="75" t="s">
        <v>198</v>
      </c>
      <c r="H43" s="75" t="s">
        <v>9</v>
      </c>
      <c r="I43" s="74" t="s">
        <v>199</v>
      </c>
      <c r="J43" s="141"/>
    </row>
    <row r="44" spans="1:10" x14ac:dyDescent="0.2">
      <c r="A44" s="146"/>
      <c r="B44" s="133"/>
      <c r="C44" s="134"/>
      <c r="D44" s="136"/>
      <c r="E44" s="144"/>
      <c r="F44" s="75" t="s">
        <v>329</v>
      </c>
      <c r="G44" s="75" t="s">
        <v>163</v>
      </c>
      <c r="H44" s="75" t="s">
        <v>9</v>
      </c>
      <c r="I44" s="74" t="s">
        <v>330</v>
      </c>
      <c r="J44" s="142"/>
    </row>
    <row r="45" spans="1:10" x14ac:dyDescent="0.2">
      <c r="A45" s="146" t="s">
        <v>682</v>
      </c>
      <c r="B45" s="133" t="s">
        <v>553</v>
      </c>
      <c r="C45" s="134" t="s">
        <v>558</v>
      </c>
      <c r="D45" s="135" t="s">
        <v>683</v>
      </c>
      <c r="E45" s="144">
        <v>15</v>
      </c>
      <c r="F45" s="72" t="s">
        <v>182</v>
      </c>
      <c r="G45" s="72" t="s">
        <v>183</v>
      </c>
      <c r="H45" s="75" t="s">
        <v>25</v>
      </c>
      <c r="I45" s="74" t="s">
        <v>184</v>
      </c>
      <c r="J45" s="140" t="str">
        <f>"83"</f>
        <v>83</v>
      </c>
    </row>
    <row r="46" spans="1:10" x14ac:dyDescent="0.2">
      <c r="A46" s="146"/>
      <c r="B46" s="133"/>
      <c r="C46" s="134"/>
      <c r="D46" s="136"/>
      <c r="E46" s="144"/>
      <c r="F46" s="75" t="s">
        <v>269</v>
      </c>
      <c r="G46" s="75" t="s">
        <v>270</v>
      </c>
      <c r="H46" s="75" t="s">
        <v>25</v>
      </c>
      <c r="I46" s="74" t="s">
        <v>271</v>
      </c>
      <c r="J46" s="141"/>
    </row>
    <row r="47" spans="1:10" x14ac:dyDescent="0.2">
      <c r="A47" s="146"/>
      <c r="B47" s="133"/>
      <c r="C47" s="134"/>
      <c r="D47" s="136"/>
      <c r="E47" s="144"/>
      <c r="F47" s="75" t="s">
        <v>149</v>
      </c>
      <c r="G47" s="75" t="s">
        <v>150</v>
      </c>
      <c r="H47" s="75" t="s">
        <v>25</v>
      </c>
      <c r="I47" s="74" t="s">
        <v>151</v>
      </c>
      <c r="J47" s="142"/>
    </row>
    <row r="48" spans="1:10" x14ac:dyDescent="0.2">
      <c r="A48" s="146" t="s">
        <v>682</v>
      </c>
      <c r="B48" s="133" t="s">
        <v>553</v>
      </c>
      <c r="C48" s="147" t="s">
        <v>684</v>
      </c>
      <c r="D48" s="135" t="s">
        <v>683</v>
      </c>
      <c r="E48" s="145">
        <v>1</v>
      </c>
      <c r="F48" s="72" t="s">
        <v>317</v>
      </c>
      <c r="G48" s="72" t="s">
        <v>94</v>
      </c>
      <c r="H48" s="75" t="s">
        <v>54</v>
      </c>
      <c r="I48" s="74" t="s">
        <v>190</v>
      </c>
      <c r="J48" s="140" t="str">
        <f>"121"</f>
        <v>121</v>
      </c>
    </row>
    <row r="49" spans="1:10" x14ac:dyDescent="0.2">
      <c r="A49" s="146"/>
      <c r="B49" s="133"/>
      <c r="C49" s="147"/>
      <c r="D49" s="136"/>
      <c r="E49" s="145"/>
      <c r="F49" s="75" t="s">
        <v>324</v>
      </c>
      <c r="G49" s="75" t="s">
        <v>325</v>
      </c>
      <c r="H49" s="75" t="s">
        <v>13</v>
      </c>
      <c r="I49" s="74" t="s">
        <v>326</v>
      </c>
      <c r="J49" s="141"/>
    </row>
    <row r="50" spans="1:10" x14ac:dyDescent="0.2">
      <c r="A50" s="146"/>
      <c r="B50" s="133"/>
      <c r="C50" s="147"/>
      <c r="D50" s="136"/>
      <c r="E50" s="145"/>
      <c r="F50" s="75" t="s">
        <v>479</v>
      </c>
      <c r="G50" s="75" t="s">
        <v>421</v>
      </c>
      <c r="H50" s="75" t="s">
        <v>54</v>
      </c>
      <c r="I50" s="74" t="s">
        <v>480</v>
      </c>
      <c r="J50" s="142"/>
    </row>
    <row r="51" spans="1:10" x14ac:dyDescent="0.2">
      <c r="A51" s="146" t="s">
        <v>682</v>
      </c>
      <c r="B51" s="133" t="s">
        <v>553</v>
      </c>
      <c r="C51" s="147" t="s">
        <v>684</v>
      </c>
      <c r="D51" s="135" t="s">
        <v>683</v>
      </c>
      <c r="E51" s="143">
        <v>2</v>
      </c>
      <c r="F51" s="75" t="s">
        <v>387</v>
      </c>
      <c r="G51" s="75" t="s">
        <v>115</v>
      </c>
      <c r="H51" s="75" t="s">
        <v>17</v>
      </c>
      <c r="I51" s="74" t="s">
        <v>388</v>
      </c>
      <c r="J51" s="140" t="str">
        <f>"111"</f>
        <v>111</v>
      </c>
    </row>
    <row r="52" spans="1:10" x14ac:dyDescent="0.2">
      <c r="A52" s="146"/>
      <c r="B52" s="133"/>
      <c r="C52" s="147"/>
      <c r="D52" s="136"/>
      <c r="E52" s="143"/>
      <c r="F52" s="75" t="s">
        <v>49</v>
      </c>
      <c r="G52" s="75" t="s">
        <v>50</v>
      </c>
      <c r="H52" s="75" t="s">
        <v>17</v>
      </c>
      <c r="I52" s="74" t="s">
        <v>51</v>
      </c>
      <c r="J52" s="141"/>
    </row>
    <row r="53" spans="1:10" x14ac:dyDescent="0.2">
      <c r="A53" s="146"/>
      <c r="B53" s="133"/>
      <c r="C53" s="147"/>
      <c r="D53" s="136"/>
      <c r="E53" s="143"/>
      <c r="F53" s="75" t="s">
        <v>231</v>
      </c>
      <c r="G53" s="75" t="s">
        <v>232</v>
      </c>
      <c r="H53" s="75" t="s">
        <v>17</v>
      </c>
      <c r="I53" s="74" t="s">
        <v>233</v>
      </c>
      <c r="J53" s="142"/>
    </row>
    <row r="54" spans="1:10" x14ac:dyDescent="0.2">
      <c r="A54" s="146" t="s">
        <v>682</v>
      </c>
      <c r="B54" s="133" t="s">
        <v>553</v>
      </c>
      <c r="C54" s="147" t="s">
        <v>684</v>
      </c>
      <c r="D54" s="135" t="s">
        <v>683</v>
      </c>
      <c r="E54" s="143">
        <v>3</v>
      </c>
      <c r="F54" s="72" t="s">
        <v>222</v>
      </c>
      <c r="G54" s="72" t="s">
        <v>223</v>
      </c>
      <c r="H54" s="75" t="s">
        <v>21</v>
      </c>
      <c r="I54" s="74" t="s">
        <v>224</v>
      </c>
      <c r="J54" s="140" t="str">
        <f>"98"</f>
        <v>98</v>
      </c>
    </row>
    <row r="55" spans="1:10" x14ac:dyDescent="0.2">
      <c r="A55" s="146"/>
      <c r="B55" s="133"/>
      <c r="C55" s="147"/>
      <c r="D55" s="136"/>
      <c r="E55" s="143"/>
      <c r="F55" s="72" t="s">
        <v>327</v>
      </c>
      <c r="G55" s="72" t="s">
        <v>328</v>
      </c>
      <c r="H55" s="75" t="s">
        <v>21</v>
      </c>
      <c r="I55" s="74" t="s">
        <v>101</v>
      </c>
      <c r="J55" s="141"/>
    </row>
    <row r="56" spans="1:10" x14ac:dyDescent="0.2">
      <c r="A56" s="146"/>
      <c r="B56" s="133"/>
      <c r="C56" s="147"/>
      <c r="D56" s="136"/>
      <c r="E56" s="143"/>
      <c r="F56" s="75" t="s">
        <v>391</v>
      </c>
      <c r="G56" s="75" t="s">
        <v>392</v>
      </c>
      <c r="H56" s="75" t="s">
        <v>17</v>
      </c>
      <c r="I56" s="74" t="s">
        <v>393</v>
      </c>
      <c r="J56" s="142"/>
    </row>
    <row r="57" spans="1:10" x14ac:dyDescent="0.2">
      <c r="A57" s="146" t="s">
        <v>682</v>
      </c>
      <c r="B57" s="133" t="s">
        <v>553</v>
      </c>
      <c r="C57" s="147" t="s">
        <v>684</v>
      </c>
      <c r="D57" s="135" t="s">
        <v>683</v>
      </c>
      <c r="E57" s="143">
        <v>4</v>
      </c>
      <c r="F57" s="72" t="s">
        <v>365</v>
      </c>
      <c r="G57" s="72" t="s">
        <v>366</v>
      </c>
      <c r="H57" s="75" t="s">
        <v>25</v>
      </c>
      <c r="I57" s="74" t="s">
        <v>361</v>
      </c>
      <c r="J57" s="140" t="str">
        <f>"90"</f>
        <v>90</v>
      </c>
    </row>
    <row r="58" spans="1:10" x14ac:dyDescent="0.2">
      <c r="A58" s="146"/>
      <c r="B58" s="133"/>
      <c r="C58" s="147"/>
      <c r="D58" s="136"/>
      <c r="E58" s="143"/>
      <c r="F58" s="75" t="s">
        <v>62</v>
      </c>
      <c r="G58" s="75" t="s">
        <v>63</v>
      </c>
      <c r="H58" s="75" t="s">
        <v>25</v>
      </c>
      <c r="I58" s="74" t="s">
        <v>64</v>
      </c>
      <c r="J58" s="141"/>
    </row>
    <row r="59" spans="1:10" x14ac:dyDescent="0.2">
      <c r="A59" s="146"/>
      <c r="B59" s="133"/>
      <c r="C59" s="147"/>
      <c r="D59" s="136"/>
      <c r="E59" s="143"/>
      <c r="F59" s="14"/>
      <c r="G59" s="14"/>
      <c r="H59" s="12"/>
      <c r="I59" s="13"/>
      <c r="J59" s="142"/>
    </row>
  </sheetData>
  <mergeCells count="115">
    <mergeCell ref="J51:J53"/>
    <mergeCell ref="J54:J56"/>
    <mergeCell ref="J57:J59"/>
    <mergeCell ref="J36:J38"/>
    <mergeCell ref="J39:J41"/>
    <mergeCell ref="J42:J44"/>
    <mergeCell ref="J45:J47"/>
    <mergeCell ref="J48:J50"/>
    <mergeCell ref="J21:J23"/>
    <mergeCell ref="J24:J26"/>
    <mergeCell ref="J27:J29"/>
    <mergeCell ref="J30:J32"/>
    <mergeCell ref="J33:J35"/>
    <mergeCell ref="J9:J11"/>
    <mergeCell ref="J12:J14"/>
    <mergeCell ref="J15:J17"/>
    <mergeCell ref="J18:J20"/>
    <mergeCell ref="D45:D47"/>
    <mergeCell ref="E45:E47"/>
    <mergeCell ref="D42:D44"/>
    <mergeCell ref="E42:E44"/>
    <mergeCell ref="A39:A41"/>
    <mergeCell ref="B39:B41"/>
    <mergeCell ref="C39:C41"/>
    <mergeCell ref="D39:D41"/>
    <mergeCell ref="E39:E41"/>
    <mergeCell ref="D48:D50"/>
    <mergeCell ref="D24:D26"/>
    <mergeCell ref="A33:A35"/>
    <mergeCell ref="B33:B35"/>
    <mergeCell ref="C33:C35"/>
    <mergeCell ref="D33:D35"/>
    <mergeCell ref="A36:A38"/>
    <mergeCell ref="B36:B38"/>
    <mergeCell ref="C36:C38"/>
    <mergeCell ref="D36:D38"/>
    <mergeCell ref="C30:C32"/>
    <mergeCell ref="D30:D32"/>
    <mergeCell ref="A27:A29"/>
    <mergeCell ref="B27:B29"/>
    <mergeCell ref="A48:A50"/>
    <mergeCell ref="B48:B50"/>
    <mergeCell ref="C48:C50"/>
    <mergeCell ref="A24:A26"/>
    <mergeCell ref="B24:B26"/>
    <mergeCell ref="C24:C26"/>
    <mergeCell ref="C27:C29"/>
    <mergeCell ref="A42:A44"/>
    <mergeCell ref="B42:B44"/>
    <mergeCell ref="C42:C44"/>
    <mergeCell ref="A45:A47"/>
    <mergeCell ref="B45:B47"/>
    <mergeCell ref="C45:C47"/>
    <mergeCell ref="D27:D29"/>
    <mergeCell ref="A30:A32"/>
    <mergeCell ref="B30:B32"/>
    <mergeCell ref="C9:C11"/>
    <mergeCell ref="A21:A23"/>
    <mergeCell ref="B21:B23"/>
    <mergeCell ref="C21:C23"/>
    <mergeCell ref="B18:B20"/>
    <mergeCell ref="C18:C20"/>
    <mergeCell ref="D18:D20"/>
    <mergeCell ref="A18:A20"/>
    <mergeCell ref="D21:D23"/>
    <mergeCell ref="D15:D17"/>
    <mergeCell ref="A1:J1"/>
    <mergeCell ref="C12:C14"/>
    <mergeCell ref="B12:B14"/>
    <mergeCell ref="E6:E8"/>
    <mergeCell ref="E15:E17"/>
    <mergeCell ref="D12:D14"/>
    <mergeCell ref="A15:A17"/>
    <mergeCell ref="E3:E5"/>
    <mergeCell ref="C6:C8"/>
    <mergeCell ref="D6:D8"/>
    <mergeCell ref="A6:A8"/>
    <mergeCell ref="B15:B17"/>
    <mergeCell ref="C15:C17"/>
    <mergeCell ref="D9:D11"/>
    <mergeCell ref="A3:A5"/>
    <mergeCell ref="B3:B5"/>
    <mergeCell ref="D3:D5"/>
    <mergeCell ref="B6:B8"/>
    <mergeCell ref="A12:A14"/>
    <mergeCell ref="A9:A11"/>
    <mergeCell ref="B9:B11"/>
    <mergeCell ref="A54:A56"/>
    <mergeCell ref="B54:B56"/>
    <mergeCell ref="C51:C53"/>
    <mergeCell ref="A51:A53"/>
    <mergeCell ref="E57:E59"/>
    <mergeCell ref="C54:C56"/>
    <mergeCell ref="D54:D56"/>
    <mergeCell ref="A57:A59"/>
    <mergeCell ref="B57:B59"/>
    <mergeCell ref="C57:C59"/>
    <mergeCell ref="D57:D59"/>
    <mergeCell ref="E51:E53"/>
    <mergeCell ref="J3:J5"/>
    <mergeCell ref="J6:J8"/>
    <mergeCell ref="D51:D53"/>
    <mergeCell ref="B51:B53"/>
    <mergeCell ref="E54:E56"/>
    <mergeCell ref="E18:E20"/>
    <mergeCell ref="E12:E14"/>
    <mergeCell ref="E21:E23"/>
    <mergeCell ref="E36:E38"/>
    <mergeCell ref="E24:E26"/>
    <mergeCell ref="E27:E29"/>
    <mergeCell ref="E30:E32"/>
    <mergeCell ref="E33:E35"/>
    <mergeCell ref="E48:E50"/>
    <mergeCell ref="C3:C5"/>
    <mergeCell ref="E9:E11"/>
  </mergeCells>
  <phoneticPr fontId="0" type="noConversion"/>
  <pageMargins left="0.39370078740157483" right="0.51181102362204722" top="0.11811023622047245" bottom="0.11811023622047245" header="0.11811023622047245" footer="0.11811023622047245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25</vt:i4>
      </vt:variant>
    </vt:vector>
  </HeadingPairs>
  <TitlesOfParts>
    <vt:vector size="25" baseType="lpstr">
      <vt:lpstr>Feuil1</vt:lpstr>
      <vt:lpstr>Finale</vt:lpstr>
      <vt:lpstr>1° Ind</vt:lpstr>
      <vt:lpstr>Participants</vt:lpstr>
      <vt:lpstr>Participations</vt:lpstr>
      <vt:lpstr>NATIONAL</vt:lpstr>
      <vt:lpstr>Bloc</vt:lpstr>
      <vt:lpstr>Difficultés</vt:lpstr>
      <vt:lpstr>chal A</vt:lpstr>
      <vt:lpstr>chal H</vt:lpstr>
      <vt:lpstr>chal P</vt:lpstr>
      <vt:lpstr>RECAP</vt:lpstr>
      <vt:lpstr>Feuil4</vt:lpstr>
      <vt:lpstr>Feuil5</vt:lpstr>
      <vt:lpstr>Feuil6</vt:lpstr>
      <vt:lpstr>Feuil7</vt:lpstr>
      <vt:lpstr>Feuil8</vt:lpstr>
      <vt:lpstr>Feuil9</vt:lpstr>
      <vt:lpstr>Feuil10</vt:lpstr>
      <vt:lpstr>Feuil11</vt:lpstr>
      <vt:lpstr>Feuil12</vt:lpstr>
      <vt:lpstr>Feuil13</vt:lpstr>
      <vt:lpstr>Feuil14</vt:lpstr>
      <vt:lpstr>Feuil15</vt:lpstr>
      <vt:lpstr>Feuil16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CRSU</dc:creator>
  <cp:keywords/>
  <dc:description/>
  <cp:lastModifiedBy>Helena lulic</cp:lastModifiedBy>
  <cp:revision/>
  <dcterms:created xsi:type="dcterms:W3CDTF">2000-02-08T13:52:20Z</dcterms:created>
  <dcterms:modified xsi:type="dcterms:W3CDTF">2025-04-22T10:56:40Z</dcterms:modified>
  <cp:category/>
  <cp:contentStatus/>
</cp:coreProperties>
</file>